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рифы на услуги" sheetId="2" r:id="rId1"/>
    <sheet name="Лист1" sheetId="1" r:id="rId2"/>
  </sheets>
  <externalReferences>
    <externalReference r:id="rId3"/>
    <externalReference r:id="rId4"/>
  </externalReferences>
  <definedNames>
    <definedName name="_xlnm.Print_Area" localSheetId="0">'Тарифы на услуги'!$A$1:$AV$170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3" i="2" l="1"/>
  <c r="V163" i="2" s="1"/>
  <c r="T162" i="2"/>
  <c r="V162" i="2" s="1"/>
  <c r="T161" i="2"/>
  <c r="V161" i="2" s="1"/>
  <c r="V160" i="2"/>
  <c r="T160" i="2"/>
  <c r="Q160" i="2"/>
  <c r="T155" i="2"/>
  <c r="V155" i="2" s="1"/>
  <c r="T154" i="2"/>
  <c r="V154" i="2" s="1"/>
  <c r="V153" i="2"/>
  <c r="T153" i="2"/>
  <c r="T152" i="2"/>
  <c r="V152" i="2" s="1"/>
  <c r="Q152" i="2"/>
  <c r="T145" i="2"/>
  <c r="V145" i="2" s="1"/>
  <c r="V144" i="2"/>
  <c r="T144" i="2"/>
  <c r="T143" i="2"/>
  <c r="V143" i="2" s="1"/>
  <c r="T142" i="2"/>
  <c r="V142" i="2" s="1"/>
  <c r="Q142" i="2"/>
  <c r="V137" i="2"/>
  <c r="T137" i="2"/>
  <c r="T136" i="2"/>
  <c r="V136" i="2" s="1"/>
  <c r="T135" i="2"/>
  <c r="V135" i="2" s="1"/>
  <c r="T134" i="2"/>
  <c r="V134" i="2" s="1"/>
  <c r="Q134" i="2"/>
  <c r="AG133" i="2"/>
  <c r="AH133" i="2" s="1"/>
  <c r="AI133" i="2" s="1"/>
  <c r="AG132" i="2"/>
  <c r="AG131" i="2"/>
  <c r="AD123" i="2"/>
  <c r="AI117" i="2"/>
  <c r="AH117" i="2"/>
  <c r="AK116" i="2"/>
  <c r="AK117" i="2" s="1"/>
  <c r="AJ116" i="2"/>
  <c r="AJ117" i="2" s="1"/>
  <c r="AI116" i="2"/>
  <c r="AH116" i="2"/>
  <c r="AG116" i="2"/>
  <c r="AG117" i="2" s="1"/>
  <c r="AI111" i="2"/>
  <c r="AI112" i="2" s="1"/>
  <c r="AG111" i="2"/>
  <c r="AG112" i="2" s="1"/>
  <c r="AI108" i="2"/>
  <c r="AJ108" i="2" s="1"/>
  <c r="AH108" i="2"/>
  <c r="AH111" i="2" s="1"/>
  <c r="AH112" i="2" s="1"/>
  <c r="F104" i="2"/>
  <c r="H104" i="2" s="1"/>
  <c r="AE91" i="2"/>
  <c r="AE90" i="2"/>
  <c r="AE92" i="2" s="1"/>
  <c r="AE93" i="2" s="1"/>
  <c r="AE95" i="2" s="1"/>
  <c r="AE97" i="2" s="1"/>
  <c r="C80" i="2"/>
  <c r="I78" i="2"/>
  <c r="I77" i="2"/>
  <c r="H76" i="2"/>
  <c r="H75" i="2"/>
  <c r="AD74" i="2"/>
  <c r="AE74" i="2" s="1"/>
  <c r="H74" i="2"/>
  <c r="AD73" i="2"/>
  <c r="AE73" i="2" s="1"/>
  <c r="H73" i="2"/>
  <c r="AE72" i="2"/>
  <c r="AD72" i="2"/>
  <c r="H72" i="2"/>
  <c r="AE71" i="2"/>
  <c r="AD71" i="2"/>
  <c r="H71" i="2"/>
  <c r="H70" i="2"/>
  <c r="H69" i="2"/>
  <c r="H68" i="2"/>
  <c r="AC67" i="2"/>
  <c r="H67" i="2"/>
  <c r="H66" i="2"/>
  <c r="I65" i="2"/>
  <c r="I63" i="2"/>
  <c r="E62" i="2"/>
  <c r="E61" i="2"/>
  <c r="Q60" i="2"/>
  <c r="R60" i="2" s="1"/>
  <c r="L60" i="2"/>
  <c r="E60" i="2"/>
  <c r="I59" i="2"/>
  <c r="H59" i="2"/>
  <c r="I58" i="2"/>
  <c r="H58" i="2"/>
  <c r="I57" i="2"/>
  <c r="H57" i="2"/>
  <c r="E54" i="2"/>
  <c r="I53" i="2"/>
  <c r="I52" i="2"/>
  <c r="I51" i="2"/>
  <c r="AH50" i="2"/>
  <c r="AH57" i="2" s="1"/>
  <c r="AI57" i="2" s="1"/>
  <c r="I49" i="2"/>
  <c r="AN48" i="2"/>
  <c r="AN49" i="2" s="1"/>
  <c r="AM48" i="2"/>
  <c r="AM49" i="2" s="1"/>
  <c r="I48" i="2"/>
  <c r="AN47" i="2"/>
  <c r="AM47" i="2"/>
  <c r="E47" i="2"/>
  <c r="G46" i="2"/>
  <c r="E46" i="2"/>
  <c r="E45" i="2"/>
  <c r="G44" i="2"/>
  <c r="E44" i="2"/>
  <c r="G43" i="2"/>
  <c r="E43" i="2"/>
  <c r="AJ42" i="2"/>
  <c r="G42" i="2"/>
  <c r="F42" i="2"/>
  <c r="D42" i="2"/>
  <c r="E42" i="2" s="1"/>
  <c r="AJ41" i="2"/>
  <c r="G41" i="2"/>
  <c r="F41" i="2"/>
  <c r="D41" i="2"/>
  <c r="E41" i="2" s="1"/>
  <c r="AE40" i="2"/>
  <c r="AE41" i="2" s="1"/>
  <c r="AD40" i="2"/>
  <c r="AD41" i="2" s="1"/>
  <c r="F40" i="2"/>
  <c r="G40" i="2" s="1"/>
  <c r="S54" i="2" s="1"/>
  <c r="E40" i="2"/>
  <c r="S50" i="2" s="1"/>
  <c r="F39" i="2"/>
  <c r="AG77" i="2" s="1"/>
  <c r="AI77" i="2" s="1"/>
  <c r="D39" i="2"/>
  <c r="E39" i="2" s="1"/>
  <c r="AD38" i="2"/>
  <c r="G38" i="2"/>
  <c r="F38" i="2"/>
  <c r="D38" i="2"/>
  <c r="E38" i="2" s="1"/>
  <c r="AD37" i="2"/>
  <c r="N37" i="2"/>
  <c r="G37" i="2"/>
  <c r="F37" i="2"/>
  <c r="E37" i="2"/>
  <c r="D37" i="2"/>
  <c r="E36" i="2"/>
  <c r="E35" i="2"/>
  <c r="AO34" i="2"/>
  <c r="AQ34" i="2" s="1"/>
  <c r="M34" i="2"/>
  <c r="L34" i="2"/>
  <c r="N34" i="2" s="1"/>
  <c r="O33" i="2"/>
  <c r="N33" i="2"/>
  <c r="M33" i="2"/>
  <c r="L33" i="2"/>
  <c r="L38" i="2" s="1"/>
  <c r="G33" i="2"/>
  <c r="E33" i="2"/>
  <c r="AQ32" i="2"/>
  <c r="G32" i="2"/>
  <c r="E32" i="2"/>
  <c r="L19" i="2" s="1"/>
  <c r="L27" i="2" s="1"/>
  <c r="L31" i="2"/>
  <c r="I31" i="2"/>
  <c r="I30" i="2"/>
  <c r="S29" i="2"/>
  <c r="U29" i="2" s="1"/>
  <c r="L29" i="2"/>
  <c r="G29" i="2"/>
  <c r="E29" i="2"/>
  <c r="L32" i="2" s="1"/>
  <c r="M32" i="2" s="1"/>
  <c r="N32" i="2" s="1"/>
  <c r="AD28" i="2"/>
  <c r="I28" i="2"/>
  <c r="AD27" i="2"/>
  <c r="I27" i="2"/>
  <c r="AD26" i="2"/>
  <c r="N26" i="2"/>
  <c r="L26" i="2"/>
  <c r="F26" i="2"/>
  <c r="G26" i="2" s="1"/>
  <c r="E26" i="2"/>
  <c r="D25" i="2"/>
  <c r="E25" i="2" s="1"/>
  <c r="D24" i="2"/>
  <c r="E24" i="2" s="1"/>
  <c r="E23" i="2"/>
  <c r="D23" i="2"/>
  <c r="E22" i="2"/>
  <c r="D22" i="2"/>
  <c r="D21" i="2"/>
  <c r="E21" i="2" s="1"/>
  <c r="D20" i="2"/>
  <c r="E20" i="2" s="1"/>
  <c r="E19" i="2"/>
  <c r="E18" i="2"/>
  <c r="I17" i="2"/>
  <c r="G17" i="2"/>
  <c r="AR16" i="2"/>
  <c r="AS16" i="2" s="1"/>
  <c r="I16" i="2"/>
  <c r="G16" i="2"/>
  <c r="AT15" i="2"/>
  <c r="AS15" i="2"/>
  <c r="AS14" i="2"/>
  <c r="AT14" i="2" s="1"/>
  <c r="AR14" i="2"/>
  <c r="H14" i="2"/>
  <c r="I14" i="2" s="1"/>
  <c r="AS13" i="2"/>
  <c r="AT13" i="2" s="1"/>
  <c r="I13" i="2"/>
  <c r="H13" i="2"/>
  <c r="K12" i="2"/>
  <c r="AQ5" i="2"/>
  <c r="AR5" i="2" s="1"/>
  <c r="AN5" i="2"/>
  <c r="AO5" i="2" s="1"/>
  <c r="AC5" i="2"/>
  <c r="AD5" i="2" s="1"/>
  <c r="V5" i="2"/>
  <c r="W5" i="2" s="1"/>
  <c r="S5" i="2"/>
  <c r="T5" i="2" s="1"/>
  <c r="AQ4" i="2"/>
  <c r="AR4" i="2" s="1"/>
  <c r="AN4" i="2"/>
  <c r="AO4" i="2" s="1"/>
  <c r="W4" i="2"/>
  <c r="V4" i="2"/>
  <c r="AC4" i="2" s="1"/>
  <c r="AD4" i="2" s="1"/>
  <c r="S4" i="2"/>
  <c r="T4" i="2" s="1"/>
  <c r="AQ3" i="2"/>
  <c r="AR3" i="2" s="1"/>
  <c r="AN3" i="2"/>
  <c r="AO3" i="2" s="1"/>
  <c r="AD3" i="2"/>
  <c r="AC3" i="2"/>
  <c r="W3" i="2"/>
  <c r="V3" i="2"/>
  <c r="S3" i="2"/>
  <c r="O3" i="2" s="1"/>
  <c r="AR2" i="2"/>
  <c r="AR6" i="2" s="1"/>
  <c r="AQ2" i="2"/>
  <c r="AO2" i="2"/>
  <c r="AN2" i="2"/>
  <c r="AC2" i="2"/>
  <c r="AG3" i="2" s="1"/>
  <c r="V2" i="2"/>
  <c r="W2" i="2" s="1"/>
  <c r="S2" i="2"/>
  <c r="AD50" i="2" s="1"/>
  <c r="AE50" i="2" s="1"/>
  <c r="O2" i="2"/>
  <c r="N2" i="2"/>
  <c r="M2" i="2"/>
  <c r="AO1" i="2"/>
  <c r="M5" i="2" l="1"/>
  <c r="O5" i="2"/>
  <c r="T2" i="2"/>
  <c r="AD54" i="2"/>
  <c r="AD79" i="2" s="1"/>
  <c r="AE79" i="2" s="1"/>
  <c r="AS17" i="2"/>
  <c r="AT17" i="2" s="1"/>
  <c r="AT16" i="2"/>
  <c r="V138" i="2"/>
  <c r="W6" i="2"/>
  <c r="V164" i="2"/>
  <c r="AT19" i="2"/>
  <c r="AO6" i="2"/>
  <c r="AP6" i="2" s="1"/>
  <c r="H106" i="2"/>
  <c r="K106" i="2" s="1"/>
  <c r="J104" i="2"/>
  <c r="J106" i="2" s="1"/>
  <c r="V156" i="2"/>
  <c r="O6" i="2"/>
  <c r="O7" i="2" s="1"/>
  <c r="AT6" i="2"/>
  <c r="AU6" i="2" s="1"/>
  <c r="AS6" i="2"/>
  <c r="AQ35" i="2"/>
  <c r="S55" i="2"/>
  <c r="AK108" i="2"/>
  <c r="AK111" i="2" s="1"/>
  <c r="AK112" i="2" s="1"/>
  <c r="AJ111" i="2"/>
  <c r="AJ112" i="2" s="1"/>
  <c r="V146" i="2"/>
  <c r="AD2" i="2"/>
  <c r="T3" i="2"/>
  <c r="T6" i="2" s="1"/>
  <c r="U6" i="2" s="1"/>
  <c r="U12" i="2" s="1"/>
  <c r="V12" i="2" s="1"/>
  <c r="T29" i="2"/>
  <c r="V29" i="2" s="1"/>
  <c r="L35" i="2"/>
  <c r="L36" i="2"/>
  <c r="G39" i="2"/>
  <c r="L40" i="2" s="1"/>
  <c r="L41" i="2"/>
  <c r="L42" i="2" s="1"/>
  <c r="AD77" i="2"/>
  <c r="AE77" i="2" s="1"/>
  <c r="AG79" i="2"/>
  <c r="AI79" i="2" s="1"/>
  <c r="AI80" i="2" s="1"/>
  <c r="S30" i="2"/>
  <c r="S34" i="2"/>
  <c r="M35" i="2"/>
  <c r="AF40" i="2"/>
  <c r="AF41" i="2" s="1"/>
  <c r="AG41" i="2" s="1"/>
  <c r="N41" i="2"/>
  <c r="AD56" i="2"/>
  <c r="AD67" i="2"/>
  <c r="M4" i="2"/>
  <c r="AC6" i="2"/>
  <c r="S35" i="2"/>
  <c r="AG40" i="2"/>
  <c r="O4" i="2"/>
  <c r="AD19" i="2"/>
  <c r="AD29" i="2" s="1"/>
  <c r="AD55" i="2"/>
  <c r="AD68" i="2"/>
  <c r="F103" i="2"/>
  <c r="H103" i="2" s="1"/>
  <c r="M3" i="2"/>
  <c r="R79" i="2"/>
  <c r="AE54" i="2" l="1"/>
  <c r="AJ80" i="2"/>
  <c r="AI83" i="2"/>
  <c r="AI81" i="2"/>
  <c r="AI82" i="2" s="1"/>
  <c r="X6" i="2"/>
  <c r="U7" i="2" s="1"/>
  <c r="U9" i="2" s="1"/>
  <c r="Y6" i="2"/>
  <c r="Z6" i="2" s="1"/>
  <c r="AD44" i="2"/>
  <c r="AI40" i="2"/>
  <c r="S60" i="2"/>
  <c r="U35" i="2"/>
  <c r="T35" i="2"/>
  <c r="V35" i="2" s="1"/>
  <c r="U34" i="2"/>
  <c r="T34" i="2"/>
  <c r="V34" i="2" s="1"/>
  <c r="M39" i="2"/>
  <c r="M6" i="2"/>
  <c r="M7" i="2" s="1"/>
  <c r="AJ10" i="2"/>
  <c r="AG6" i="2"/>
  <c r="AD6" i="2"/>
  <c r="AE6" i="2" s="1"/>
  <c r="AG12" i="2"/>
  <c r="U30" i="2"/>
  <c r="T30" i="2"/>
  <c r="V30" i="2" s="1"/>
  <c r="AS18" i="2"/>
  <c r="AP7" i="2"/>
  <c r="AE32" i="2"/>
  <c r="AF29" i="2"/>
  <c r="AF32" i="2" s="1"/>
  <c r="J103" i="2"/>
  <c r="J105" i="2" s="1"/>
  <c r="H105" i="2"/>
  <c r="K105" i="2" s="1"/>
  <c r="K107" i="2" s="1"/>
  <c r="N42" i="2"/>
  <c r="N43" i="2"/>
  <c r="AD76" i="2"/>
  <c r="AE76" i="2" s="1"/>
  <c r="AE68" i="2"/>
  <c r="AD75" i="2"/>
  <c r="AE75" i="2" s="1"/>
  <c r="AE67" i="2"/>
  <c r="AD80" i="2"/>
  <c r="AE80" i="2" s="1"/>
  <c r="AD69" i="2"/>
  <c r="AE69" i="2" s="1"/>
  <c r="AE55" i="2"/>
  <c r="AD70" i="2"/>
  <c r="AE70" i="2" s="1"/>
  <c r="AF70" i="2" s="1"/>
  <c r="AE56" i="2"/>
  <c r="AD81" i="2"/>
  <c r="AE81" i="2" s="1"/>
  <c r="AE82" i="2" l="1"/>
  <c r="AF82" i="2" s="1"/>
  <c r="AE57" i="2"/>
  <c r="AF57" i="2" s="1"/>
  <c r="AF6" i="2"/>
  <c r="AF7" i="2" s="1"/>
  <c r="AD8" i="2"/>
  <c r="AJ43" i="2"/>
  <c r="AH6" i="2"/>
  <c r="AP39" i="2"/>
  <c r="AP43" i="2" s="1"/>
  <c r="AC7" i="2"/>
  <c r="AG32" i="2"/>
  <c r="AG29" i="2"/>
  <c r="N44" i="2"/>
  <c r="AH29" i="2" l="1"/>
  <c r="AI29" i="2"/>
</calcChain>
</file>

<file path=xl/sharedStrings.xml><?xml version="1.0" encoding="utf-8"?>
<sst xmlns="http://schemas.openxmlformats.org/spreadsheetml/2006/main" count="331" uniqueCount="198">
  <si>
    <t>Утверждаю:</t>
  </si>
  <si>
    <t>Ивацевичи</t>
  </si>
  <si>
    <t>с-с</t>
  </si>
  <si>
    <t>До Пинска</t>
  </si>
  <si>
    <t>Щучин</t>
  </si>
  <si>
    <t>С/С</t>
  </si>
  <si>
    <t>цена</t>
  </si>
  <si>
    <t>Для расчётов</t>
  </si>
  <si>
    <t>МАЗ</t>
  </si>
  <si>
    <t>п-м МАЗу</t>
  </si>
  <si>
    <t>До Минска</t>
  </si>
  <si>
    <t>Себест-ть 1 м. куб.</t>
  </si>
  <si>
    <t>с/с на 1 м. куб.</t>
  </si>
  <si>
    <t>Директор Кобринского опытныго лесхоза</t>
  </si>
  <si>
    <t>км</t>
  </si>
  <si>
    <t>(Утверждены приказом № 226  от 03 .05.2024 г.)</t>
  </si>
  <si>
    <t>м3</t>
  </si>
  <si>
    <t>Н.А. Полуянов</t>
  </si>
  <si>
    <t>полная сумма</t>
  </si>
  <si>
    <t>17.05.2024 г.</t>
  </si>
  <si>
    <t>ч.</t>
  </si>
  <si>
    <t>без НДС</t>
  </si>
  <si>
    <t>с НДС</t>
  </si>
  <si>
    <t>Сумма с НДС</t>
  </si>
  <si>
    <t>на 1 м3</t>
  </si>
  <si>
    <t>на 1 м3 без НДС</t>
  </si>
  <si>
    <t xml:space="preserve">     ПРЕЙСКУРАНТ № 4</t>
  </si>
  <si>
    <r>
      <t xml:space="preserve">          </t>
    </r>
    <r>
      <rPr>
        <b/>
        <sz val="16"/>
        <rFont val="Arial Cyr"/>
        <family val="2"/>
        <charset val="204"/>
      </rPr>
      <t>Тарифы на услуги,</t>
    </r>
  </si>
  <si>
    <t>прибыль на 1 м3</t>
  </si>
  <si>
    <t>со скидкой 50%+ НДС</t>
  </si>
  <si>
    <t xml:space="preserve">             оказываемые Кобринским опытным лесхозом.</t>
  </si>
  <si>
    <t>рент.</t>
  </si>
  <si>
    <t>Наименование тарифа</t>
  </si>
  <si>
    <t>За 1 час</t>
  </si>
  <si>
    <t>За 1 км</t>
  </si>
  <si>
    <t>За 1 м3</t>
  </si>
  <si>
    <t>За 1 п.м.</t>
  </si>
  <si>
    <t>на 1 ёлку</t>
  </si>
  <si>
    <t xml:space="preserve">Острожка </t>
  </si>
  <si>
    <t>расчёт по дровам:</t>
  </si>
  <si>
    <t>ст-ть</t>
  </si>
  <si>
    <t>ст-ть со скидкой</t>
  </si>
  <si>
    <t>Распиловка в 2 прохода</t>
  </si>
  <si>
    <t xml:space="preserve">              Дрова (сосна. ольха)</t>
  </si>
  <si>
    <t>*</t>
  </si>
  <si>
    <t xml:space="preserve">  в 1 проход </t>
  </si>
  <si>
    <t>трелёвка</t>
  </si>
  <si>
    <r>
      <t xml:space="preserve">Производство щепы топливной   машиной рубильной "Беларусь" МР-100(марка руб. уст-ки -HENZ HEM 420)(марка транспортного средства МТЗ 1221):                                </t>
    </r>
    <r>
      <rPr>
        <b/>
        <sz val="14"/>
        <rFont val="Arial Cyr"/>
        <charset val="204"/>
      </rPr>
      <t/>
    </r>
  </si>
  <si>
    <t>Ндс</t>
  </si>
  <si>
    <t xml:space="preserve">            из дров</t>
  </si>
  <si>
    <t>по состоянию на  31.07.2017 г.</t>
  </si>
  <si>
    <t>Доставка МПТ</t>
  </si>
  <si>
    <t>из отходов лесопиления и деревообработки</t>
  </si>
  <si>
    <t>МТЗ - 80,82;ЮМЗ-6Л</t>
  </si>
  <si>
    <t xml:space="preserve">Расчёт  ориентировочной ст-ти погрузки вагонов  для Полесьелесинвест: </t>
  </si>
  <si>
    <t>УРАЛ</t>
  </si>
  <si>
    <t>Итого к оплате без скидки:</t>
  </si>
  <si>
    <t>Без топлива</t>
  </si>
  <si>
    <t>Стоимость со скидкой:</t>
  </si>
  <si>
    <t>Урал лесовоз:</t>
  </si>
  <si>
    <t>загрузка вагона, м3</t>
  </si>
  <si>
    <t>на 1 м. куб.</t>
  </si>
  <si>
    <t>погрузка</t>
  </si>
  <si>
    <t>Ст-ть за вагон без НДС</t>
  </si>
  <si>
    <t>Ст-ть за вагон с НДС</t>
  </si>
  <si>
    <t>на рейс</t>
  </si>
  <si>
    <t>разгрузка</t>
  </si>
  <si>
    <t>Наименов. прод.-ии</t>
  </si>
  <si>
    <t>время погр., ч по норме лесхоза</t>
  </si>
  <si>
    <t>ч</t>
  </si>
  <si>
    <t>МАЗ- 630308226</t>
  </si>
  <si>
    <t>Пилов.</t>
  </si>
  <si>
    <t>ТимСтоун</t>
  </si>
  <si>
    <t>Балансы</t>
  </si>
  <si>
    <t>МАЗ- 5551(самосвал)</t>
  </si>
  <si>
    <t>со скидкой 50%</t>
  </si>
  <si>
    <r>
      <t>VOLVO FH 440, МАЗ МАН (с полуприцепом специальным APS 55 443B</t>
    </r>
    <r>
      <rPr>
        <b/>
        <sz val="10"/>
        <rFont val="Arial Cyr"/>
        <charset val="204"/>
      </rPr>
      <t>(Платформа)</t>
    </r>
  </si>
  <si>
    <t>с НДс со скидкой</t>
  </si>
  <si>
    <t>Погрузчик фронтальный одноковшовый  ВМЕ 1565</t>
  </si>
  <si>
    <t>МАЗ-самосвал 5551</t>
  </si>
  <si>
    <t>по цене</t>
  </si>
  <si>
    <t>Погрузчик фронтальный одноковшовый  АМКОДОР 342С4</t>
  </si>
  <si>
    <t>ГАЗ-52(бензовоз)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</si>
  <si>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</si>
  <si>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ГАЗ-66 (пожарная)</t>
  </si>
  <si>
    <t>ГАЗ-53 (бортовая)</t>
  </si>
  <si>
    <t>Экономист</t>
  </si>
  <si>
    <t>Сергеева О.Л.</t>
  </si>
  <si>
    <t>на рейс с НДС</t>
  </si>
  <si>
    <t>УАЗ -3163,3909</t>
  </si>
  <si>
    <t>ВАЗ-21310(Нива),2109,2121</t>
  </si>
  <si>
    <t>Фольксваген Б6,Б5</t>
  </si>
  <si>
    <t xml:space="preserve"> УАЗ- грузовой</t>
  </si>
  <si>
    <t>УРАЛ бортовой</t>
  </si>
  <si>
    <t>Урал 375 АЦ(пожарная)</t>
  </si>
  <si>
    <t xml:space="preserve"> </t>
  </si>
  <si>
    <t>за работу насоса</t>
  </si>
  <si>
    <t>Автовышка  А Г П-18</t>
  </si>
  <si>
    <t>без топлива</t>
  </si>
  <si>
    <t>Себестоимость  доставки л/м из Ганцевич</t>
  </si>
  <si>
    <t>Ручная погрузка древесины</t>
  </si>
  <si>
    <t>Сушка древесины, п/м</t>
  </si>
  <si>
    <t>УАЗ охотников</t>
  </si>
  <si>
    <t>Вагон</t>
  </si>
  <si>
    <t>Ж/д усл.</t>
  </si>
  <si>
    <t>Услуги по окорке  лес-лов</t>
  </si>
  <si>
    <t>Услуги по оцилиндровке  лес-лов из сырья Заказчика</t>
  </si>
  <si>
    <t>Услуги по оцилиндровке  лес-лов(с выборкой паза и зарезкой чаш) из сырья Заказчика</t>
  </si>
  <si>
    <t>Услуги  МЛПТ-354</t>
  </si>
  <si>
    <t>Провозная пл.</t>
  </si>
  <si>
    <t>Услуги по раскряжёвке древесины</t>
  </si>
  <si>
    <t>бензопилой</t>
  </si>
  <si>
    <t>длиной 0,3 м</t>
  </si>
  <si>
    <t>длиной  1 м</t>
  </si>
  <si>
    <t>длиной свыше 1 м ( до 2 м)</t>
  </si>
  <si>
    <t>экономист</t>
  </si>
  <si>
    <t>Услуги  МПТ-461,1, МТЗ 82.1 (с гидроманипулятором)</t>
  </si>
  <si>
    <t>со скидкой</t>
  </si>
  <si>
    <t>Услуги трактора  МТЗ с плугом</t>
  </si>
  <si>
    <t>Услуги трактора  МТЗ -1221 с фрез.(с мульчером"Seppim")</t>
  </si>
  <si>
    <t>Трелевка</t>
  </si>
  <si>
    <t xml:space="preserve">Услуга по отводу насаждений </t>
  </si>
  <si>
    <t>газ 53</t>
  </si>
  <si>
    <t>под рубки</t>
  </si>
  <si>
    <t>лес</t>
  </si>
  <si>
    <t>Из Пружан</t>
  </si>
  <si>
    <t>по с/ст-ти</t>
  </si>
  <si>
    <t>Цена без НДС</t>
  </si>
  <si>
    <t>Стоимость без НДС</t>
  </si>
  <si>
    <t>Услуги по заготовке древесины хвойных и мягколиственных пород толщиной</t>
  </si>
  <si>
    <t>26 и более</t>
  </si>
  <si>
    <t>14-24 мм</t>
  </si>
  <si>
    <t>10-13 мм</t>
  </si>
  <si>
    <t>Услуги по заготовке древесины твердолиственных  пород толщиной</t>
  </si>
  <si>
    <t>м4</t>
  </si>
  <si>
    <t>м5</t>
  </si>
  <si>
    <t>м6</t>
  </si>
  <si>
    <t>м7</t>
  </si>
  <si>
    <t xml:space="preserve">Услуги по заготовке дровяной древесины </t>
  </si>
  <si>
    <t>м8</t>
  </si>
  <si>
    <t>хвойных и лиственных пород</t>
  </si>
  <si>
    <t>м9</t>
  </si>
  <si>
    <t>твердолиственных пород</t>
  </si>
  <si>
    <t>м10</t>
  </si>
  <si>
    <t>Экскурсионные услуги (посещение вальера с оленями и территории Петровичского лесничества) за 1 чел.</t>
  </si>
  <si>
    <t>Тариф по хранению продукции, м.куб /сут.</t>
  </si>
  <si>
    <t>Ставка НДС -  20%</t>
  </si>
  <si>
    <t xml:space="preserve">Цены вводятся с </t>
  </si>
  <si>
    <t xml:space="preserve">Стоимостьбез НДС </t>
  </si>
  <si>
    <t>Отменить цены, введённые 19.06.2023 г.</t>
  </si>
  <si>
    <t>НДС</t>
  </si>
  <si>
    <t>Экономист                               ____________________</t>
  </si>
  <si>
    <t>О.Л. Сергеева</t>
  </si>
  <si>
    <t xml:space="preserve">Стоимость всего с НДС </t>
  </si>
  <si>
    <t>Стоимость с учётом НДС скидки 50 %</t>
  </si>
  <si>
    <t>по состоянию на 23.04.2015 г</t>
  </si>
  <si>
    <t>за 1час</t>
  </si>
  <si>
    <t>Расчёт стоимости дров при доставке в МОТЫКАЛЫ:</t>
  </si>
  <si>
    <t>цена на Пассат</t>
  </si>
  <si>
    <t>за 1 км</t>
  </si>
  <si>
    <t>за  часы</t>
  </si>
  <si>
    <t>за  км</t>
  </si>
  <si>
    <t>80 км</t>
  </si>
  <si>
    <t>70 км</t>
  </si>
  <si>
    <t>60 км</t>
  </si>
  <si>
    <t>50 км</t>
  </si>
  <si>
    <t>40 км</t>
  </si>
  <si>
    <t xml:space="preserve"> за м. куб</t>
  </si>
  <si>
    <t>Стоимость дров на промскладе:</t>
  </si>
  <si>
    <t>Ориентировочная стоимость услуг по  доставке :</t>
  </si>
  <si>
    <t>(при среднем  расст. вывозки  МАЗом )</t>
  </si>
  <si>
    <t>Итого стоимость с услугами по доставке без НДС:</t>
  </si>
  <si>
    <t>С НДС</t>
  </si>
  <si>
    <t>с/с услуг</t>
  </si>
  <si>
    <t>прибыль</t>
  </si>
  <si>
    <t>рент</t>
  </si>
  <si>
    <t>с/ст-ть дров</t>
  </si>
  <si>
    <t>Стимулирование машинистов лесозаготовительной машины</t>
  </si>
  <si>
    <t>Вимек Т6</t>
  </si>
  <si>
    <t>услуги Профита</t>
  </si>
  <si>
    <t>градация 600-700 м3</t>
  </si>
  <si>
    <t>Объём в мес.по норме</t>
  </si>
  <si>
    <t>расц.</t>
  </si>
  <si>
    <t>ЗП в сущ.стимулир.</t>
  </si>
  <si>
    <t>сортим.</t>
  </si>
  <si>
    <t>Уд.вес</t>
  </si>
  <si>
    <t>Объём</t>
  </si>
  <si>
    <t>Расценка</t>
  </si>
  <si>
    <t>сумма ЗП</t>
  </si>
  <si>
    <t>дрова</t>
  </si>
  <si>
    <t>кол</t>
  </si>
  <si>
    <t>балансы</t>
  </si>
  <si>
    <t>лесомат.</t>
  </si>
  <si>
    <t>ЗП в новом.стимулир.</t>
  </si>
  <si>
    <t>градация 700 м3 и более</t>
  </si>
  <si>
    <t>Вимек Т3</t>
  </si>
  <si>
    <t>градация 450-600 м3</t>
  </si>
  <si>
    <t>градация 600 м3 и более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</si>
</sst>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B_r_-;\-* #,##0.00\ _B_r_-;_-* &quot;-&quot;??\ _B_r_-;_-@_-"/>
    <numFmt numFmtId="164" formatCode="_-* #,##0.00_р_._-;\-* #,##0.00_р_._-;_-* &quot;-&quot;??_р_._-;_-@_-"/>
    <numFmt numFmtId="165" formatCode="_-* #,##0.00\ _₽_-;\-* #,##0.00\ _₽_-;_-* &quot;-&quot;??\ _₽_-;_-@_-"/>
    <numFmt numFmtId="166" formatCode="_-* #,##0.000_р_._-;\-* #,##0.000_р_._-;_-* &quot;-&quot;??_р_._-;_-@_-"/>
    <numFmt numFmtId="167" formatCode="0.000"/>
    <numFmt numFmtId="168" formatCode="_-* #,##0_р_._-;\-* #,##0_р_._-;_-* &quot;-&quot;??_р_._-;_-@_-"/>
    <numFmt numFmtId="169" formatCode="0.0%"/>
    <numFmt numFmtId="170" formatCode="0.0"/>
  </numFmts>
  <fonts count="2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10"/>
      <name val="Arial Cyr"/>
      <charset val="204"/>
    </font>
    <font>
      <b/>
      <i/>
      <sz val="14"/>
      <name val="Arial Cyr"/>
      <charset val="204"/>
    </font>
    <font>
      <b/>
      <sz val="12"/>
      <name val="Arial Cyr"/>
      <charset val="204"/>
    </font>
    <font>
      <sz val="14"/>
      <color rgb="FFFF0000"/>
      <name val="Arial Cyr"/>
      <charset val="204"/>
    </font>
    <font>
      <sz val="14"/>
      <name val="Arial Cyr"/>
      <charset val="204"/>
    </font>
    <font>
      <b/>
      <i/>
      <sz val="12"/>
      <name val="Arial Cyr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b/>
      <i/>
      <sz val="16"/>
      <name val="Arial Cyr"/>
      <charset val="204"/>
    </font>
    <font>
      <b/>
      <sz val="14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Arial Cyr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0">
    <xf numFmtId="0" fontId="0" fillId="0" borderId="0" xfId="0"/>
    <xf numFmtId="0" fontId="2" fillId="0" borderId="0" xfId="1" applyFont="1"/>
    <xf numFmtId="0" fontId="1" fillId="0" borderId="0" xfId="1"/>
    <xf numFmtId="0" fontId="1" fillId="2" borderId="0" xfId="1" applyFont="1" applyFill="1"/>
    <xf numFmtId="0" fontId="1" fillId="3" borderId="0" xfId="1" applyFont="1" applyFill="1"/>
    <xf numFmtId="0" fontId="1" fillId="3" borderId="0" xfId="1" applyFill="1"/>
    <xf numFmtId="0" fontId="0" fillId="0" borderId="0" xfId="1" applyFont="1"/>
    <xf numFmtId="0" fontId="1" fillId="0" borderId="0" xfId="1" applyFont="1" applyAlignment="1">
      <alignment wrapText="1"/>
    </xf>
    <xf numFmtId="0" fontId="1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6" fillId="3" borderId="0" xfId="1" applyFont="1" applyFill="1"/>
    <xf numFmtId="0" fontId="7" fillId="3" borderId="0" xfId="1" applyFont="1" applyFill="1"/>
    <xf numFmtId="1" fontId="2" fillId="0" borderId="0" xfId="1" applyNumberFormat="1" applyFont="1" applyFill="1"/>
    <xf numFmtId="0" fontId="2" fillId="0" borderId="0" xfId="1" applyFont="1" applyAlignment="1">
      <alignment horizontal="left"/>
    </xf>
    <xf numFmtId="2" fontId="1" fillId="2" borderId="0" xfId="1" applyNumberFormat="1" applyFill="1"/>
    <xf numFmtId="0" fontId="1" fillId="2" borderId="0" xfId="1" applyFill="1"/>
    <xf numFmtId="2" fontId="1" fillId="0" borderId="0" xfId="1" applyNumberFormat="1"/>
    <xf numFmtId="164" fontId="1" fillId="0" borderId="0" xfId="2"/>
    <xf numFmtId="43" fontId="1" fillId="0" borderId="0" xfId="1" applyNumberFormat="1"/>
    <xf numFmtId="1" fontId="1" fillId="0" borderId="0" xfId="1" applyNumberFormat="1"/>
    <xf numFmtId="164" fontId="1" fillId="0" borderId="0" xfId="2" applyNumberFormat="1"/>
    <xf numFmtId="165" fontId="1" fillId="0" borderId="0" xfId="1" applyNumberFormat="1"/>
    <xf numFmtId="0" fontId="2" fillId="0" borderId="1" xfId="1" applyFont="1" applyBorder="1"/>
    <xf numFmtId="14" fontId="8" fillId="0" borderId="0" xfId="1" applyNumberFormat="1" applyFont="1"/>
    <xf numFmtId="0" fontId="8" fillId="0" borderId="0" xfId="1" applyFont="1"/>
    <xf numFmtId="164" fontId="1" fillId="0" borderId="2" xfId="2" applyNumberFormat="1" applyBorder="1"/>
    <xf numFmtId="43" fontId="1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166" fontId="1" fillId="0" borderId="0" xfId="1" applyNumberFormat="1"/>
    <xf numFmtId="164" fontId="5" fillId="4" borderId="2" xfId="2" applyNumberFormat="1" applyFont="1" applyFill="1" applyBorder="1"/>
    <xf numFmtId="167" fontId="1" fillId="0" borderId="0" xfId="1" applyNumberFormat="1"/>
    <xf numFmtId="168" fontId="1" fillId="0" borderId="0" xfId="2" applyNumberFormat="1"/>
    <xf numFmtId="164" fontId="1" fillId="0" borderId="0" xfId="1" applyNumberFormat="1"/>
    <xf numFmtId="167" fontId="5" fillId="5" borderId="0" xfId="1" applyNumberFormat="1" applyFont="1" applyFill="1"/>
    <xf numFmtId="0" fontId="1" fillId="0" borderId="0" xfId="1" applyFont="1" applyAlignment="1">
      <alignment vertical="top" wrapText="1"/>
    </xf>
    <xf numFmtId="164" fontId="5" fillId="6" borderId="2" xfId="2" applyNumberFormat="1" applyFont="1" applyFill="1" applyBorder="1"/>
    <xf numFmtId="1" fontId="5" fillId="5" borderId="0" xfId="1" applyNumberFormat="1" applyFont="1" applyFill="1"/>
    <xf numFmtId="168" fontId="5" fillId="6" borderId="0" xfId="2" applyNumberFormat="1" applyFont="1" applyFill="1" applyBorder="1"/>
    <xf numFmtId="169" fontId="1" fillId="0" borderId="0" xfId="3" applyNumberFormat="1"/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0" borderId="6" xfId="4" applyBorder="1"/>
    <xf numFmtId="0" fontId="1" fillId="0" borderId="11" xfId="4" applyBorder="1"/>
    <xf numFmtId="0" fontId="1" fillId="0" borderId="7" xfId="4" applyBorder="1"/>
    <xf numFmtId="0" fontId="13" fillId="0" borderId="2" xfId="4" applyFont="1" applyBorder="1"/>
    <xf numFmtId="2" fontId="14" fillId="0" borderId="10" xfId="4" applyNumberFormat="1" applyFont="1" applyBorder="1"/>
    <xf numFmtId="0" fontId="13" fillId="0" borderId="7" xfId="4" applyFont="1" applyBorder="1"/>
    <xf numFmtId="0" fontId="14" fillId="0" borderId="12" xfId="4" applyFont="1" applyBorder="1"/>
    <xf numFmtId="0" fontId="14" fillId="0" borderId="10" xfId="4" applyFont="1" applyBorder="1"/>
    <xf numFmtId="2" fontId="13" fillId="0" borderId="9" xfId="4" applyNumberFormat="1" applyFont="1" applyBorder="1"/>
    <xf numFmtId="2" fontId="13" fillId="0" borderId="12" xfId="4" applyNumberFormat="1" applyFont="1" applyBorder="1"/>
    <xf numFmtId="0" fontId="1" fillId="0" borderId="0" xfId="4" applyBorder="1"/>
    <xf numFmtId="0" fontId="1" fillId="0" borderId="0" xfId="1" applyBorder="1"/>
    <xf numFmtId="167" fontId="15" fillId="0" borderId="0" xfId="1" applyNumberFormat="1" applyFont="1" applyFill="1" applyBorder="1"/>
    <xf numFmtId="0" fontId="15" fillId="0" borderId="0" xfId="1" applyFont="1" applyFill="1" applyBorder="1"/>
    <xf numFmtId="1" fontId="1" fillId="0" borderId="0" xfId="1" applyNumberFormat="1" applyBorder="1"/>
    <xf numFmtId="0" fontId="8" fillId="0" borderId="3" xfId="1" applyFont="1" applyBorder="1"/>
    <xf numFmtId="0" fontId="1" fillId="0" borderId="4" xfId="1" applyBorder="1"/>
    <xf numFmtId="0" fontId="0" fillId="0" borderId="4" xfId="1" applyFont="1" applyBorder="1" applyAlignment="1">
      <alignment horizontal="right"/>
    </xf>
    <xf numFmtId="0" fontId="0" fillId="0" borderId="5" xfId="1" applyFont="1" applyBorder="1" applyAlignment="1">
      <alignment horizontal="right" wrapText="1"/>
    </xf>
    <xf numFmtId="2" fontId="13" fillId="0" borderId="7" xfId="4" applyNumberFormat="1" applyFont="1" applyBorder="1"/>
    <xf numFmtId="0" fontId="13" fillId="0" borderId="10" xfId="4" applyFont="1" applyBorder="1"/>
    <xf numFmtId="0" fontId="15" fillId="0" borderId="0" xfId="1" applyFont="1"/>
    <xf numFmtId="1" fontId="15" fillId="0" borderId="0" xfId="1" applyNumberFormat="1" applyFont="1" applyFill="1" applyBorder="1"/>
    <xf numFmtId="0" fontId="0" fillId="0" borderId="13" xfId="1" applyFont="1" applyBorder="1"/>
    <xf numFmtId="0" fontId="0" fillId="0" borderId="0" xfId="1" applyFont="1" applyBorder="1"/>
    <xf numFmtId="0" fontId="1" fillId="0" borderId="14" xfId="1" applyBorder="1"/>
    <xf numFmtId="2" fontId="14" fillId="0" borderId="15" xfId="4" applyNumberFormat="1" applyFont="1" applyBorder="1"/>
    <xf numFmtId="0" fontId="16" fillId="0" borderId="0" xfId="1" applyFont="1"/>
    <xf numFmtId="0" fontId="1" fillId="0" borderId="13" xfId="1" applyBorder="1"/>
    <xf numFmtId="2" fontId="17" fillId="0" borderId="0" xfId="1" applyNumberFormat="1" applyFont="1" applyBorder="1"/>
    <xf numFmtId="0" fontId="13" fillId="0" borderId="13" xfId="4" applyFont="1" applyBorder="1"/>
    <xf numFmtId="0" fontId="13" fillId="0" borderId="14" xfId="4" applyFont="1" applyBorder="1"/>
    <xf numFmtId="0" fontId="14" fillId="0" borderId="16" xfId="4" applyFont="1" applyBorder="1"/>
    <xf numFmtId="0" fontId="13" fillId="0" borderId="16" xfId="4" applyFont="1" applyBorder="1"/>
    <xf numFmtId="0" fontId="0" fillId="0" borderId="0" xfId="1" applyFont="1" applyBorder="1" applyAlignment="1">
      <alignment horizontal="right"/>
    </xf>
    <xf numFmtId="9" fontId="1" fillId="0" borderId="0" xfId="1" applyNumberFormat="1" applyBorder="1"/>
    <xf numFmtId="0" fontId="13" fillId="0" borderId="8" xfId="4" applyFont="1" applyBorder="1"/>
    <xf numFmtId="2" fontId="14" fillId="0" borderId="12" xfId="4" applyNumberFormat="1" applyFont="1" applyBorder="1"/>
    <xf numFmtId="0" fontId="13" fillId="0" borderId="9" xfId="4" applyFont="1" applyBorder="1"/>
    <xf numFmtId="0" fontId="13" fillId="0" borderId="12" xfId="4" applyFont="1" applyBorder="1"/>
    <xf numFmtId="0" fontId="18" fillId="0" borderId="0" xfId="1" applyFont="1" applyBorder="1"/>
    <xf numFmtId="0" fontId="1" fillId="0" borderId="0" xfId="1" applyBorder="1" applyAlignment="1">
      <alignment horizontal="right"/>
    </xf>
    <xf numFmtId="2" fontId="1" fillId="0" borderId="0" xfId="1" applyNumberFormat="1" applyBorder="1"/>
    <xf numFmtId="0" fontId="13" fillId="0" borderId="6" xfId="4" applyFont="1" applyBorder="1"/>
    <xf numFmtId="0" fontId="1" fillId="0" borderId="13" xfId="4" applyBorder="1"/>
    <xf numFmtId="0" fontId="1" fillId="0" borderId="14" xfId="4" applyBorder="1"/>
    <xf numFmtId="2" fontId="13" fillId="0" borderId="2" xfId="4" applyNumberFormat="1" applyFont="1" applyBorder="1"/>
    <xf numFmtId="0" fontId="8" fillId="0" borderId="0" xfId="1" applyFont="1" applyBorder="1" applyAlignment="1">
      <alignment wrapText="1"/>
    </xf>
    <xf numFmtId="0" fontId="19" fillId="7" borderId="13" xfId="1" applyFont="1" applyFill="1" applyBorder="1"/>
    <xf numFmtId="0" fontId="19" fillId="7" borderId="0" xfId="1" applyFont="1" applyFill="1" applyBorder="1"/>
    <xf numFmtId="0" fontId="1" fillId="7" borderId="0" xfId="1" applyFill="1" applyBorder="1"/>
    <xf numFmtId="0" fontId="20" fillId="7" borderId="0" xfId="1" applyFont="1" applyFill="1" applyBorder="1"/>
    <xf numFmtId="0" fontId="1" fillId="0" borderId="8" xfId="4" applyBorder="1"/>
    <xf numFmtId="0" fontId="1" fillId="0" borderId="1" xfId="4" applyBorder="1"/>
    <xf numFmtId="0" fontId="1" fillId="0" borderId="9" xfId="4" applyBorder="1"/>
    <xf numFmtId="0" fontId="15" fillId="0" borderId="0" xfId="1" applyFont="1" applyBorder="1"/>
    <xf numFmtId="0" fontId="19" fillId="3" borderId="8" xfId="1" applyFont="1" applyFill="1" applyBorder="1"/>
    <xf numFmtId="0" fontId="19" fillId="3" borderId="1" xfId="1" applyFont="1" applyFill="1" applyBorder="1"/>
    <xf numFmtId="0" fontId="1" fillId="3" borderId="1" xfId="1" applyFill="1" applyBorder="1"/>
    <xf numFmtId="0" fontId="5" fillId="3" borderId="9" xfId="1" applyFont="1" applyFill="1" applyBorder="1"/>
    <xf numFmtId="2" fontId="13" fillId="0" borderId="13" xfId="4" applyNumberFormat="1" applyFont="1" applyBorder="1"/>
    <xf numFmtId="2" fontId="13" fillId="0" borderId="14" xfId="4" applyNumberFormat="1" applyFont="1" applyBorder="1"/>
    <xf numFmtId="2" fontId="14" fillId="0" borderId="16" xfId="4" applyNumberFormat="1" applyFont="1" applyBorder="1"/>
    <xf numFmtId="1" fontId="15" fillId="6" borderId="0" xfId="1" applyNumberFormat="1" applyFont="1" applyFill="1"/>
    <xf numFmtId="0" fontId="15" fillId="6" borderId="14" xfId="1" applyFont="1" applyFill="1" applyBorder="1"/>
    <xf numFmtId="0" fontId="1" fillId="6" borderId="0" xfId="1" applyFill="1"/>
    <xf numFmtId="0" fontId="1" fillId="6" borderId="14" xfId="1" applyFill="1" applyBorder="1"/>
    <xf numFmtId="0" fontId="1" fillId="0" borderId="17" xfId="1" applyFont="1" applyBorder="1"/>
    <xf numFmtId="0" fontId="1" fillId="0" borderId="17" xfId="1" applyBorder="1"/>
    <xf numFmtId="0" fontId="0" fillId="0" borderId="18" xfId="1" applyFont="1" applyBorder="1" applyAlignment="1">
      <alignment horizontal="center" wrapText="1"/>
    </xf>
    <xf numFmtId="0" fontId="0" fillId="0" borderId="2" xfId="1" applyFont="1" applyBorder="1" applyAlignment="1">
      <alignment vertical="top" wrapText="1"/>
    </xf>
    <xf numFmtId="0" fontId="0" fillId="0" borderId="6" xfId="1" applyFont="1" applyBorder="1" applyAlignment="1">
      <alignment wrapText="1"/>
    </xf>
    <xf numFmtId="0" fontId="1" fillId="0" borderId="19" xfId="1" applyBorder="1"/>
    <xf numFmtId="0" fontId="0" fillId="0" borderId="2" xfId="1" applyFont="1" applyBorder="1"/>
    <xf numFmtId="0" fontId="15" fillId="0" borderId="2" xfId="1" applyFont="1" applyFill="1" applyBorder="1"/>
    <xf numFmtId="1" fontId="1" fillId="0" borderId="0" xfId="4" applyNumberFormat="1" applyFont="1" applyBorder="1"/>
    <xf numFmtId="0" fontId="1" fillId="0" borderId="0" xfId="4" applyFont="1" applyBorder="1"/>
    <xf numFmtId="2" fontId="1" fillId="0" borderId="0" xfId="1" applyNumberFormat="1" applyFont="1" applyBorder="1"/>
    <xf numFmtId="2" fontId="20" fillId="0" borderId="0" xfId="1" applyNumberFormat="1" applyFont="1" applyBorder="1"/>
    <xf numFmtId="2" fontId="15" fillId="0" borderId="0" xfId="1" applyNumberFormat="1" applyFont="1" applyFill="1"/>
    <xf numFmtId="0" fontId="5" fillId="5" borderId="0" xfId="1" applyFont="1" applyFill="1"/>
    <xf numFmtId="2" fontId="5" fillId="5" borderId="0" xfId="1" applyNumberFormat="1" applyFont="1" applyFill="1"/>
    <xf numFmtId="9" fontId="5" fillId="5" borderId="0" xfId="1" applyNumberFormat="1" applyFont="1" applyFill="1"/>
    <xf numFmtId="167" fontId="5" fillId="5" borderId="2" xfId="2" applyNumberFormat="1" applyFont="1" applyFill="1" applyBorder="1"/>
    <xf numFmtId="2" fontId="15" fillId="0" borderId="0" xfId="1" applyNumberFormat="1" applyFont="1" applyFill="1" applyBorder="1"/>
    <xf numFmtId="2" fontId="20" fillId="0" borderId="0" xfId="1" applyNumberFormat="1" applyFont="1" applyFill="1" applyBorder="1"/>
    <xf numFmtId="0" fontId="20" fillId="0" borderId="0" xfId="1" applyFont="1"/>
    <xf numFmtId="0" fontId="1" fillId="0" borderId="11" xfId="1" applyBorder="1"/>
    <xf numFmtId="0" fontId="1" fillId="0" borderId="7" xfId="1" applyBorder="1"/>
    <xf numFmtId="2" fontId="13" fillId="0" borderId="6" xfId="4" applyNumberFormat="1" applyFont="1" applyBorder="1"/>
    <xf numFmtId="0" fontId="13" fillId="0" borderId="7" xfId="1" applyFont="1" applyBorder="1"/>
    <xf numFmtId="0" fontId="14" fillId="0" borderId="10" xfId="1" applyFont="1" applyBorder="1"/>
    <xf numFmtId="0" fontId="13" fillId="0" borderId="10" xfId="1" applyFont="1" applyBorder="1"/>
    <xf numFmtId="170" fontId="1" fillId="0" borderId="0" xfId="1" applyNumberFormat="1" applyBorder="1"/>
    <xf numFmtId="0" fontId="0" fillId="0" borderId="19" xfId="1" applyFont="1" applyBorder="1" applyAlignment="1">
      <alignment horizontal="center" wrapText="1"/>
    </xf>
    <xf numFmtId="0" fontId="1" fillId="6" borderId="0" xfId="1" applyFont="1" applyFill="1"/>
    <xf numFmtId="2" fontId="1" fillId="6" borderId="0" xfId="1" applyNumberFormat="1" applyFill="1"/>
    <xf numFmtId="2" fontId="5" fillId="6" borderId="17" xfId="2" applyNumberFormat="1" applyFont="1" applyFill="1" applyBorder="1"/>
    <xf numFmtId="0" fontId="4" fillId="3" borderId="0" xfId="1" applyFont="1" applyFill="1" applyBorder="1"/>
    <xf numFmtId="0" fontId="1" fillId="3" borderId="0" xfId="1" applyFill="1" applyBorder="1" applyAlignment="1">
      <alignment horizontal="center"/>
    </xf>
    <xf numFmtId="0" fontId="0" fillId="0" borderId="0" xfId="1" applyFont="1" applyBorder="1" applyAlignment="1">
      <alignment horizontal="center" wrapText="1"/>
    </xf>
    <xf numFmtId="2" fontId="5" fillId="6" borderId="4" xfId="2" applyNumberFormat="1" applyFont="1" applyFill="1" applyBorder="1"/>
    <xf numFmtId="2" fontId="13" fillId="0" borderId="13" xfId="1" applyNumberFormat="1" applyFont="1" applyBorder="1"/>
    <xf numFmtId="2" fontId="13" fillId="0" borderId="14" xfId="1" applyNumberFormat="1" applyFont="1" applyBorder="1"/>
    <xf numFmtId="2" fontId="14" fillId="0" borderId="16" xfId="1" applyNumberFormat="1" applyFont="1" applyBorder="1"/>
    <xf numFmtId="0" fontId="13" fillId="0" borderId="14" xfId="1" applyFont="1" applyBorder="1"/>
    <xf numFmtId="0" fontId="14" fillId="0" borderId="16" xfId="1" applyFont="1" applyBorder="1"/>
    <xf numFmtId="0" fontId="13" fillId="0" borderId="16" xfId="1" applyFont="1" applyBorder="1"/>
    <xf numFmtId="0" fontId="1" fillId="0" borderId="20" xfId="1" applyBorder="1"/>
    <xf numFmtId="0" fontId="1" fillId="0" borderId="1" xfId="1" applyBorder="1"/>
    <xf numFmtId="0" fontId="5" fillId="8" borderId="1" xfId="1" applyFont="1" applyFill="1" applyBorder="1"/>
    <xf numFmtId="1" fontId="1" fillId="0" borderId="3" xfId="1" applyNumberFormat="1" applyBorder="1"/>
    <xf numFmtId="0" fontId="16" fillId="0" borderId="4" xfId="1" applyFont="1" applyBorder="1"/>
    <xf numFmtId="0" fontId="1" fillId="0" borderId="5" xfId="1" applyBorder="1"/>
    <xf numFmtId="2" fontId="13" fillId="0" borderId="8" xfId="4" applyNumberFormat="1" applyFont="1" applyBorder="1"/>
    <xf numFmtId="1" fontId="1" fillId="0" borderId="0" xfId="4" applyNumberFormat="1" applyBorder="1"/>
    <xf numFmtId="1" fontId="1" fillId="0" borderId="13" xfId="1" applyNumberFormat="1" applyBorder="1"/>
    <xf numFmtId="0" fontId="18" fillId="0" borderId="6" xfId="1" applyFont="1" applyBorder="1"/>
    <xf numFmtId="1" fontId="5" fillId="3" borderId="0" xfId="4" applyNumberFormat="1" applyFont="1" applyFill="1" applyBorder="1"/>
    <xf numFmtId="1" fontId="0" fillId="0" borderId="13" xfId="1" applyNumberFormat="1" applyFont="1" applyBorder="1"/>
    <xf numFmtId="0" fontId="1" fillId="0" borderId="14" xfId="1" applyFont="1" applyBorder="1"/>
    <xf numFmtId="164" fontId="12" fillId="0" borderId="0" xfId="1" applyNumberFormat="1" applyFont="1"/>
    <xf numFmtId="0" fontId="5" fillId="5" borderId="0" xfId="1" applyFont="1" applyFill="1" applyBorder="1"/>
    <xf numFmtId="2" fontId="5" fillId="5" borderId="0" xfId="1" applyNumberFormat="1" applyFont="1" applyFill="1" applyBorder="1"/>
    <xf numFmtId="9" fontId="5" fillId="5" borderId="0" xfId="1" applyNumberFormat="1" applyFont="1" applyFill="1" applyBorder="1"/>
    <xf numFmtId="164" fontId="5" fillId="5" borderId="2" xfId="2" applyNumberFormat="1" applyFont="1" applyFill="1" applyBorder="1"/>
    <xf numFmtId="0" fontId="1" fillId="0" borderId="7" xfId="4" applyBorder="1" applyAlignment="1">
      <alignment wrapText="1"/>
    </xf>
    <xf numFmtId="0" fontId="1" fillId="7" borderId="1" xfId="1" applyFont="1" applyFill="1" applyBorder="1"/>
    <xf numFmtId="2" fontId="1" fillId="7" borderId="0" xfId="1" applyNumberFormat="1" applyFill="1" applyBorder="1"/>
    <xf numFmtId="9" fontId="1" fillId="7" borderId="0" xfId="1" applyNumberFormat="1" applyFill="1" applyBorder="1"/>
    <xf numFmtId="164" fontId="5" fillId="7" borderId="2" xfId="2" applyNumberFormat="1" applyFont="1" applyFill="1" applyBorder="1"/>
    <xf numFmtId="0" fontId="5" fillId="0" borderId="14" xfId="1" applyFont="1" applyBorder="1"/>
    <xf numFmtId="0" fontId="1" fillId="0" borderId="3" xfId="4" applyBorder="1"/>
    <xf numFmtId="0" fontId="1" fillId="0" borderId="4" xfId="4" applyBorder="1"/>
    <xf numFmtId="0" fontId="1" fillId="0" borderId="5" xfId="4" applyBorder="1"/>
    <xf numFmtId="0" fontId="14" fillId="0" borderId="15" xfId="4" applyFont="1" applyBorder="1"/>
    <xf numFmtId="0" fontId="13" fillId="0" borderId="5" xfId="4" applyFont="1" applyBorder="1"/>
    <xf numFmtId="0" fontId="13" fillId="0" borderId="15" xfId="4" applyFont="1" applyBorder="1"/>
    <xf numFmtId="1" fontId="1" fillId="0" borderId="8" xfId="1" applyNumberFormat="1" applyBorder="1"/>
    <xf numFmtId="2" fontId="1" fillId="0" borderId="1" xfId="1" applyNumberFormat="1" applyBorder="1"/>
    <xf numFmtId="0" fontId="1" fillId="0" borderId="9" xfId="1" applyBorder="1"/>
    <xf numFmtId="0" fontId="1" fillId="0" borderId="0" xfId="1" applyFill="1" applyBorder="1"/>
    <xf numFmtId="2" fontId="13" fillId="0" borderId="17" xfId="4" applyNumberFormat="1" applyFont="1" applyBorder="1"/>
    <xf numFmtId="1" fontId="15" fillId="0" borderId="0" xfId="1" applyNumberFormat="1" applyFont="1" applyBorder="1"/>
    <xf numFmtId="0" fontId="15" fillId="0" borderId="6" xfId="1" applyFont="1" applyBorder="1"/>
    <xf numFmtId="0" fontId="15" fillId="0" borderId="11" xfId="1" applyFont="1" applyBorder="1"/>
    <xf numFmtId="9" fontId="1" fillId="0" borderId="0" xfId="3"/>
    <xf numFmtId="9" fontId="1" fillId="0" borderId="0" xfId="3" applyNumberFormat="1"/>
    <xf numFmtId="170" fontId="15" fillId="0" borderId="0" xfId="1" applyNumberFormat="1" applyFont="1" applyFill="1" applyBorder="1"/>
    <xf numFmtId="0" fontId="1" fillId="0" borderId="0" xfId="1" applyFont="1" applyFill="1" applyBorder="1"/>
    <xf numFmtId="1" fontId="1" fillId="0" borderId="0" xfId="2" applyNumberFormat="1"/>
    <xf numFmtId="2" fontId="1" fillId="0" borderId="0" xfId="4" applyNumberFormat="1" applyBorder="1"/>
    <xf numFmtId="0" fontId="1" fillId="9" borderId="8" xfId="4" applyFill="1" applyBorder="1"/>
    <xf numFmtId="0" fontId="1" fillId="9" borderId="1" xfId="4" applyFill="1" applyBorder="1"/>
    <xf numFmtId="0" fontId="1" fillId="9" borderId="9" xfId="4" applyFill="1" applyBorder="1"/>
    <xf numFmtId="2" fontId="13" fillId="9" borderId="8" xfId="4" applyNumberFormat="1" applyFont="1" applyFill="1" applyBorder="1"/>
    <xf numFmtId="0" fontId="0" fillId="0" borderId="0" xfId="1" applyFont="1" applyAlignment="1">
      <alignment horizontal="center"/>
    </xf>
    <xf numFmtId="0" fontId="13" fillId="0" borderId="13" xfId="1" applyFont="1" applyBorder="1"/>
    <xf numFmtId="1" fontId="13" fillId="0" borderId="14" xfId="1" applyNumberFormat="1" applyFont="1" applyFill="1" applyBorder="1"/>
    <xf numFmtId="1" fontId="14" fillId="0" borderId="16" xfId="1" applyNumberFormat="1" applyFont="1" applyFill="1" applyBorder="1"/>
    <xf numFmtId="0" fontId="2" fillId="0" borderId="13" xfId="1" applyFont="1" applyBorder="1"/>
    <xf numFmtId="0" fontId="2" fillId="0" borderId="0" xfId="1" applyFont="1" applyBorder="1"/>
    <xf numFmtId="0" fontId="2" fillId="0" borderId="14" xfId="1" applyFont="1" applyBorder="1"/>
    <xf numFmtId="0" fontId="13" fillId="0" borderId="8" xfId="1" applyFont="1" applyBorder="1"/>
    <xf numFmtId="0" fontId="13" fillId="0" borderId="9" xfId="1" applyFont="1" applyBorder="1"/>
    <xf numFmtId="0" fontId="14" fillId="0" borderId="12" xfId="1" applyFont="1" applyBorder="1"/>
    <xf numFmtId="0" fontId="13" fillId="0" borderId="12" xfId="1" applyFont="1" applyBorder="1"/>
    <xf numFmtId="170" fontId="1" fillId="0" borderId="0" xfId="1" applyNumberFormat="1"/>
    <xf numFmtId="0" fontId="13" fillId="0" borderId="6" xfId="1" applyFont="1" applyBorder="1"/>
    <xf numFmtId="2" fontId="14" fillId="0" borderId="10" xfId="1" applyNumberFormat="1" applyFont="1" applyBorder="1"/>
    <xf numFmtId="0" fontId="21" fillId="0" borderId="0" xfId="4" applyFont="1"/>
    <xf numFmtId="0" fontId="22" fillId="0" borderId="0" xfId="1" applyFont="1"/>
    <xf numFmtId="14" fontId="22" fillId="0" borderId="0" xfId="1" applyNumberFormat="1" applyFont="1"/>
    <xf numFmtId="0" fontId="5" fillId="0" borderId="0" xfId="1" applyFont="1"/>
    <xf numFmtId="9" fontId="1" fillId="0" borderId="0" xfId="1" applyNumberFormat="1"/>
    <xf numFmtId="0" fontId="5" fillId="3" borderId="0" xfId="1" applyFont="1" applyFill="1"/>
    <xf numFmtId="0" fontId="5" fillId="10" borderId="0" xfId="1" applyFont="1" applyFill="1"/>
    <xf numFmtId="0" fontId="1" fillId="0" borderId="0" xfId="1" applyBorder="1" applyAlignment="1">
      <alignment horizontal="left"/>
    </xf>
    <xf numFmtId="0" fontId="0" fillId="0" borderId="0" xfId="1" applyFont="1" applyBorder="1" applyAlignment="1">
      <alignment horizontal="center"/>
    </xf>
    <xf numFmtId="9" fontId="1" fillId="0" borderId="0" xfId="1" applyNumberFormat="1" applyAlignment="1">
      <alignment horizontal="center"/>
    </xf>
    <xf numFmtId="1" fontId="0" fillId="0" borderId="0" xfId="1" applyNumberFormat="1" applyFont="1" applyBorder="1"/>
    <xf numFmtId="0" fontId="23" fillId="0" borderId="0" xfId="1" applyFont="1"/>
    <xf numFmtId="0" fontId="0" fillId="0" borderId="0" xfId="1" applyFont="1" applyAlignment="1">
      <alignment horizontal="right"/>
    </xf>
    <xf numFmtId="1" fontId="12" fillId="0" borderId="0" xfId="1" applyNumberFormat="1" applyFont="1"/>
    <xf numFmtId="0" fontId="18" fillId="0" borderId="0" xfId="1" applyFont="1"/>
    <xf numFmtId="0" fontId="0" fillId="0" borderId="0" xfId="1" applyFont="1" applyAlignment="1">
      <alignment wrapText="1"/>
    </xf>
    <xf numFmtId="0" fontId="0" fillId="0" borderId="0" xfId="1" applyFont="1" applyAlignment="1">
      <alignment horizontal="center" wrapText="1"/>
    </xf>
    <xf numFmtId="2" fontId="18" fillId="3" borderId="2" xfId="1" applyNumberFormat="1" applyFont="1" applyFill="1" applyBorder="1"/>
    <xf numFmtId="0" fontId="1" fillId="3" borderId="0" xfId="1" applyFont="1" applyFill="1" applyAlignment="1">
      <alignment horizontal="center" wrapText="1"/>
    </xf>
    <xf numFmtId="0" fontId="18" fillId="3" borderId="2" xfId="1" applyFont="1" applyFill="1" applyBorder="1"/>
    <xf numFmtId="0" fontId="19" fillId="3" borderId="2" xfId="1" applyFont="1" applyFill="1" applyBorder="1"/>
    <xf numFmtId="0" fontId="17" fillId="0" borderId="6" xfId="4" applyFont="1" applyBorder="1"/>
    <xf numFmtId="0" fontId="17" fillId="0" borderId="11" xfId="4" applyFont="1" applyBorder="1"/>
    <xf numFmtId="2" fontId="24" fillId="0" borderId="6" xfId="4" applyNumberFormat="1" applyFont="1" applyBorder="1"/>
    <xf numFmtId="2" fontId="25" fillId="0" borderId="15" xfId="4" applyNumberFormat="1" applyFont="1" applyBorder="1"/>
    <xf numFmtId="0" fontId="24" fillId="0" borderId="7" xfId="4" applyFont="1" applyBorder="1"/>
    <xf numFmtId="0" fontId="25" fillId="0" borderId="10" xfId="4" applyFont="1" applyBorder="1"/>
    <xf numFmtId="2" fontId="24" fillId="0" borderId="7" xfId="4" applyNumberFormat="1" applyFont="1" applyBorder="1"/>
    <xf numFmtId="2" fontId="25" fillId="0" borderId="10" xfId="4" applyNumberFormat="1" applyFont="1" applyBorder="1"/>
    <xf numFmtId="1" fontId="15" fillId="0" borderId="3" xfId="1" applyNumberFormat="1" applyFont="1" applyFill="1" applyBorder="1" applyAlignment="1">
      <alignment horizontal="center"/>
    </xf>
    <xf numFmtId="1" fontId="15" fillId="0" borderId="5" xfId="1" applyNumberFormat="1" applyFont="1" applyFill="1" applyBorder="1" applyAlignment="1">
      <alignment horizontal="center"/>
    </xf>
    <xf numFmtId="1" fontId="15" fillId="0" borderId="8" xfId="1" applyNumberFormat="1" applyFont="1" applyFill="1" applyBorder="1" applyAlignment="1">
      <alignment horizontal="center"/>
    </xf>
    <xf numFmtId="1" fontId="15" fillId="0" borderId="9" xfId="1" applyNumberFormat="1" applyFont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7" fillId="0" borderId="6" xfId="4" applyFont="1" applyBorder="1" applyAlignment="1">
      <alignment horizontal="left" wrapText="1"/>
    </xf>
    <xf numFmtId="0" fontId="17" fillId="0" borderId="11" xfId="4" applyFont="1" applyBorder="1" applyAlignment="1">
      <alignment horizontal="left" wrapText="1"/>
    </xf>
    <xf numFmtId="0" fontId="17" fillId="0" borderId="7" xfId="4" applyFont="1" applyBorder="1" applyAlignment="1">
      <alignment horizontal="left" wrapText="1"/>
    </xf>
    <xf numFmtId="0" fontId="1" fillId="0" borderId="3" xfId="4" applyBorder="1" applyAlignment="1">
      <alignment horizontal="left" wrapText="1"/>
    </xf>
    <xf numFmtId="0" fontId="1" fillId="0" borderId="4" xfId="4" applyBorder="1" applyAlignment="1">
      <alignment horizontal="left" wrapText="1"/>
    </xf>
    <xf numFmtId="0" fontId="1" fillId="0" borderId="5" xfId="4" applyBorder="1" applyAlignment="1">
      <alignment horizontal="left" wrapText="1"/>
    </xf>
    <xf numFmtId="0" fontId="18" fillId="0" borderId="8" xfId="4" applyFont="1" applyBorder="1" applyAlignment="1">
      <alignment horizontal="left"/>
    </xf>
    <xf numFmtId="0" fontId="18" fillId="0" borderId="1" xfId="4" applyFont="1" applyBorder="1" applyAlignment="1">
      <alignment horizontal="left"/>
    </xf>
    <xf numFmtId="0" fontId="18" fillId="0" borderId="9" xfId="4" applyFont="1" applyBorder="1" applyAlignment="1">
      <alignment horizontal="left"/>
    </xf>
    <xf numFmtId="0" fontId="18" fillId="0" borderId="6" xfId="4" applyFont="1" applyBorder="1" applyAlignment="1">
      <alignment horizontal="right" wrapText="1"/>
    </xf>
    <xf numFmtId="0" fontId="18" fillId="0" borderId="11" xfId="4" applyFont="1" applyBorder="1" applyAlignment="1">
      <alignment horizontal="right" wrapText="1"/>
    </xf>
    <xf numFmtId="0" fontId="18" fillId="0" borderId="7" xfId="4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0" fontId="0" fillId="0" borderId="3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1" fillId="0" borderId="6" xfId="4" applyBorder="1" applyAlignment="1">
      <alignment horizontal="left" wrapText="1"/>
    </xf>
    <xf numFmtId="0" fontId="1" fillId="0" borderId="11" xfId="4" applyBorder="1" applyAlignment="1">
      <alignment horizontal="left" wrapText="1"/>
    </xf>
    <xf numFmtId="0" fontId="1" fillId="0" borderId="7" xfId="4" applyBorder="1" applyAlignment="1">
      <alignment horizontal="left" wrapText="1"/>
    </xf>
    <xf numFmtId="0" fontId="12" fillId="0" borderId="0" xfId="1" applyFont="1" applyAlignment="1">
      <alignment horizontal="center"/>
    </xf>
    <xf numFmtId="0" fontId="1" fillId="9" borderId="6" xfId="4" applyFill="1" applyBorder="1" applyAlignment="1">
      <alignment horizontal="left" wrapText="1"/>
    </xf>
    <xf numFmtId="0" fontId="1" fillId="9" borderId="11" xfId="4" applyFill="1" applyBorder="1" applyAlignment="1">
      <alignment horizontal="left" wrapText="1"/>
    </xf>
    <xf numFmtId="0" fontId="1" fillId="9" borderId="7" xfId="4" applyFill="1" applyBorder="1" applyAlignment="1">
      <alignment horizontal="left" wrapText="1"/>
    </xf>
    <xf numFmtId="0" fontId="2" fillId="0" borderId="13" xfId="1" applyFont="1" applyBorder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4" xfId="1" applyFont="1" applyBorder="1" applyAlignment="1">
      <alignment horizontal="justify"/>
    </xf>
    <xf numFmtId="0" fontId="1" fillId="0" borderId="8" xfId="1" applyFont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  <xf numFmtId="0" fontId="1" fillId="0" borderId="9" xfId="1" applyFont="1" applyBorder="1" applyAlignment="1">
      <alignment horizontal="left" vertical="top" wrapText="1"/>
    </xf>
    <xf numFmtId="0" fontId="0" fillId="0" borderId="6" xfId="1" applyFont="1" applyBorder="1" applyAlignment="1">
      <alignment horizontal="left" vertical="top" wrapText="1"/>
    </xf>
    <xf numFmtId="0" fontId="0" fillId="0" borderId="11" xfId="1" applyFont="1" applyBorder="1" applyAlignment="1">
      <alignment horizontal="left" vertical="top" wrapText="1"/>
    </xf>
    <xf numFmtId="0" fontId="0" fillId="0" borderId="7" xfId="1" applyFont="1" applyBorder="1" applyAlignment="1">
      <alignment horizontal="left" vertical="top" wrapText="1"/>
    </xf>
  </cellXfs>
  <cellStyles count="5">
    <cellStyle name="Обычный" xfId="0" builtinId="0"/>
    <cellStyle name="Обычный 2" xfId="4"/>
    <cellStyle name="Обычный_Экономика услуги,п-п,с-х" xfId="1"/>
    <cellStyle name="Процентный 2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on3\Documents\&#1069;&#1082;&#1086;&#1085;&#1086;&#1084;&#1080;&#1082;&#1072;\&#1069;&#1082;&#1086;&#1085;&#1086;&#1084;&#1080;&#1082;&#1072;%202024\&#1069;&#1082;&#1086;&#1085;&#1086;&#1084;&#1080;&#1082;&#1072;%20&#1080;&#1079;&#1084;\&#1069;&#1082;&#1086;&#1085;&#1086;&#1084;&#1080;&#1082;&#1072;%20&#1091;&#1089;&#1083;&#1091;&#1075;&#1080;,&#1087;-&#1087;,&#1089;-&#109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on3\Documents\&#1069;&#1082;&#1086;&#1085;&#1086;&#1084;&#1080;&#1082;&#1072;\&#1069;&#1082;&#1086;&#1085;&#1086;&#1084;&#1080;&#1082;&#1072;%202024\&#1069;&#1082;&#1086;&#1085;&#1086;&#1084;&#1080;&#1082;&#1072;%20&#1080;&#1079;&#1084;\&#1069;&#1082;&#1086;&#1085;&#1086;&#1084;&#1080;&#1082;&#1072;%20%20&#1083;-&#10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Фр. верх сок нас. Полесье"/>
      <sheetName val="Сок з. пл."/>
      <sheetName val=" Фр.  сок Малорита"/>
      <sheetName val=" Фр.  сок Белалко"/>
      <sheetName val=" Фр.  сокс доставкой в Брест"/>
      <sheetName val=" Фр. лесосека сок2010по нормам"/>
      <sheetName val="Кальк.по дог с пак для расч "/>
      <sheetName val=" Фр. лесосека сок по дог-ру"/>
      <sheetName val=" Фр. лесос сок по дог действ."/>
      <sheetName val=" Фр. верх сок по дог-ру"/>
      <sheetName val="Черноплодная консервный"/>
      <sheetName val="Тарифные ставки б-т"/>
      <sheetName val="расшифр. цех и общех расх"/>
      <sheetName val="Тарифные ставки х.р."/>
      <sheetName val="Расчет  цеховых,общехоз.расх."/>
      <sheetName val="Тарифные ставки водителей б-т"/>
      <sheetName val="Приказ1"/>
      <sheetName val="Приказ х-т"/>
      <sheetName val="Приказ х-т(изм по цеху)"/>
      <sheetName val=" Приказ(общий,б-т)"/>
      <sheetName val="Тарифные ставки водителей х-р"/>
      <sheetName val="Розн. цена на ели"/>
      <sheetName val="Прочая новогодняя продукция"/>
      <sheetName val="Прочая новог. продукция вывеска"/>
      <sheetName val="Розн. цена для инф."/>
      <sheetName val="калькуляции ели свод"/>
      <sheetName val="свод цен ели"/>
      <sheetName val="К ЕЛИ новог.фр- ст.назн(у б-та)"/>
      <sheetName val="К ЕЛИ новог.фр- складБрест"/>
      <sheetName val="К ЕЛИ новог.фр- склад "/>
      <sheetName val="Лист1"/>
      <sheetName val="К ЕЛИ новог.ХБфр-лесосека"/>
      <sheetName val="К метлы,мед,сено,шишки,ели,ув-а"/>
      <sheetName val="Расчёт стомости мёда в таре"/>
      <sheetName val="Расчёт по мёду"/>
      <sheetName val="Расчёт по мёду 201016"/>
      <sheetName val="Расчёт по мёду 2018"/>
      <sheetName val="Расчёт по мёду 2019"/>
      <sheetName val="Расчёт по мёду 2020"/>
      <sheetName val="Расчёт по мёду 2021"/>
      <sheetName val="Расчёт по мёду 2022"/>
      <sheetName val="Расчёт по мёду 2023"/>
      <sheetName val="К ,мед (факт)"/>
      <sheetName val="К ,мед (новый)план"/>
      <sheetName val="К ,мед без незаверш."/>
      <sheetName val="К услуги АГП -18"/>
      <sheetName val="Себ-сть погрузкиЛесов.изм. посл"/>
      <sheetName val="Себ-сть погрузкиЛесов."/>
      <sheetName val="погрузка пеллет"/>
      <sheetName val="Себ-сть погрузки пвагонфакт"/>
      <sheetName val="Себ-сть погр. пвагонфактм. куб."/>
      <sheetName val="Себ-сть погр. пвагон с обшивкой"/>
      <sheetName val="Плановые ком. расходы"/>
      <sheetName val="Погр. вагона с обр. станция"/>
      <sheetName val="Себ-сть погрузкиЛесов.услуги"/>
      <sheetName val="К услуги"/>
      <sheetName val="Усл. по под почвы до 75 бт"/>
      <sheetName val="Усл. по под почвы до 75 хт"/>
      <sheetName val="К сушки  полный цикл"/>
      <sheetName val="К сушки 4 дня цикл"/>
      <sheetName val="К сушки для Бел-та 3 дн. цикл."/>
      <sheetName val="К УСЛУГИ по распил-ке"/>
      <sheetName val="РАСШИФР.Трелёвка"/>
      <sheetName val="Калькуляция Трелёвка услуги"/>
      <sheetName val="Усл. по подг почвыДрогичин"/>
      <sheetName val="К услуги (пер цен)"/>
      <sheetName val="Рыба"/>
      <sheetName val="Пчелы"/>
      <sheetName val="К мясо"/>
      <sheetName val="К олень"/>
      <sheetName val="Прейскурант на прод. п.п"/>
      <sheetName val="Прейскурант на прод. п.пденом"/>
      <sheetName val="Расчёт Косвик"/>
      <sheetName val="Пчелосемья"/>
      <sheetName val="Расчёт МарК-древар"/>
      <sheetName val="Цены на услуги прав"/>
      <sheetName val="Услуги БрестжилстройМинобор06 "/>
      <sheetName val="Услуги БрестжилстройМинобор07"/>
      <sheetName val="Расшифровка на дост. сеянцев"/>
      <sheetName val="К УСЛУГИ Испр."/>
      <sheetName val="Услуги по окорке"/>
      <sheetName val="К МАЗ самосвал 6501"/>
      <sheetName val="К Вольво"/>
      <sheetName val="К Вольво МАЗ МАН тралл"/>
      <sheetName val="Пл. кальк. по тарифу за хранен"/>
      <sheetName val="К ЕЛИ новог.на усл.ФСА (эксп)"/>
      <sheetName val="Стимулир Харвестера"/>
      <sheetName val="Услуги Автопарк"/>
      <sheetName val="Услуги ПМК52"/>
      <sheetName val="Расчет доставки дров колотых"/>
      <sheetName val="ОАО Днепро-Бугско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131">
          <cell r="M131">
            <v>43.064212677413792</v>
          </cell>
        </row>
        <row r="150">
          <cell r="M150">
            <v>2.1630835182665433</v>
          </cell>
        </row>
        <row r="167">
          <cell r="M167">
            <v>2.0884649111327667</v>
          </cell>
          <cell r="N167">
            <v>0.98394658217554831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. к таксам"/>
      <sheetName val="ТС БД"/>
      <sheetName val="Тарифные ставки б-т"/>
      <sheetName val="Зарплата по цеху"/>
      <sheetName val="Тарифные ставки х.р."/>
      <sheetName val="Ст-ть ЖД услуг"/>
      <sheetName val="Ст-ть ЖД услуг изм."/>
      <sheetName val="Расчет  цеховых,общехоз.расх."/>
      <sheetName val="Тарифные ставки водителей б-т"/>
      <sheetName val="Приказ х-т"/>
      <sheetName val=" Приказ(общий,б-т)"/>
      <sheetName val="Тарифные ставки водителей х-р"/>
      <sheetName val="Таксы"/>
      <sheetName val="Уд вес .древ.(х-т,б-т )2018г."/>
      <sheetName val="Калькуляция подвозки"/>
      <sheetName val="Калькуляция   трелевки"/>
      <sheetName val="Кальк.вывозки лесовоз"/>
      <sheetName val="Цены верх. склад новый стандарт"/>
      <sheetName val="Цены пром. склад новый стан"/>
      <sheetName val="Цены пром. склад 5%полная такса"/>
      <sheetName val="Цены пром. склад 5%10% такса"/>
      <sheetName val="Цены ниж. ск.нов.стан.нас.бур."/>
      <sheetName val="Цены фр.ниж. лесосклад 5%полная"/>
      <sheetName val="Цены фр.ниж. лесосклад 5%10%так"/>
      <sheetName val="Цены фр.-склад быстрица"/>
      <sheetName val="Цены фр-пром.склад "/>
      <sheetName val="Цены фр-ниж.склад "/>
      <sheetName val="Цены - фр-вагон "/>
      <sheetName val="Цены - фр-вагон  Фансырье"/>
      <sheetName val="Цены фр-верх.склад для биржи"/>
      <sheetName val="Мин цены Беллесэкспорт"/>
      <sheetName val="Мин цены орг. нас."/>
      <sheetName val="Цены фр-ниж.склад  населен. бур"/>
      <sheetName val="Кальк.вывозки буреломы"/>
    </sheetNames>
    <sheetDataSet>
      <sheetData sheetId="0"/>
      <sheetData sheetId="1"/>
      <sheetData sheetId="2"/>
      <sheetData sheetId="3"/>
      <sheetData sheetId="4"/>
      <sheetData sheetId="5">
        <row r="36">
          <cell r="F36">
            <v>1419082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V167"/>
  <sheetViews>
    <sheetView tabSelected="1" view="pageBreakPreview" topLeftCell="A38" zoomScale="75" zoomScaleNormal="75" zoomScaleSheetLayoutView="75" workbookViewId="0">
      <selection activeCell="AX81" sqref="AX81"/>
    </sheetView>
  </sheetViews>
  <sheetFormatPr defaultColWidth="8.85546875" defaultRowHeight="12.75" x14ac:dyDescent="0.2"/>
  <cols>
    <col min="1" max="1" width="8.85546875" style="2" customWidth="1"/>
    <col min="2" max="2" width="24.140625" style="2" customWidth="1"/>
    <col min="3" max="3" width="19.5703125" style="2" customWidth="1"/>
    <col min="4" max="4" width="11" style="2" customWidth="1"/>
    <col min="5" max="5" width="10.140625" style="2" customWidth="1"/>
    <col min="6" max="7" width="14.28515625" style="2" customWidth="1"/>
    <col min="8" max="9" width="13.5703125" style="2" customWidth="1"/>
    <col min="10" max="10" width="10.28515625" style="2" customWidth="1"/>
    <col min="11" max="11" width="9.42578125" style="2" customWidth="1"/>
    <col min="12" max="12" width="12" style="2" hidden="1" customWidth="1"/>
    <col min="13" max="13" width="8.85546875" style="2" hidden="1" customWidth="1"/>
    <col min="14" max="14" width="10.7109375" style="2" hidden="1" customWidth="1"/>
    <col min="15" max="16" width="8.85546875" style="2" hidden="1" customWidth="1"/>
    <col min="17" max="17" width="15.140625" style="2" hidden="1" customWidth="1"/>
    <col min="18" max="18" width="10.7109375" style="2" hidden="1" customWidth="1"/>
    <col min="19" max="19" width="13" style="2" hidden="1" customWidth="1"/>
    <col min="20" max="20" width="19.7109375" style="2" hidden="1" customWidth="1"/>
    <col min="21" max="21" width="11.140625" style="2" hidden="1" customWidth="1"/>
    <col min="22" max="22" width="8.85546875" style="2" hidden="1" customWidth="1"/>
    <col min="23" max="23" width="11.85546875" style="2" hidden="1" customWidth="1"/>
    <col min="24" max="24" width="8.85546875" style="2" hidden="1" customWidth="1"/>
    <col min="25" max="25" width="12.42578125" style="2" hidden="1" customWidth="1"/>
    <col min="26" max="27" width="8.85546875" style="2" hidden="1" customWidth="1"/>
    <col min="28" max="28" width="16.7109375" style="2" hidden="1" customWidth="1"/>
    <col min="29" max="29" width="18" style="2" hidden="1" customWidth="1"/>
    <col min="30" max="30" width="17.85546875" style="2" hidden="1" customWidth="1"/>
    <col min="31" max="31" width="17.28515625" style="2" hidden="1" customWidth="1"/>
    <col min="32" max="32" width="10.42578125" style="2" hidden="1" customWidth="1"/>
    <col min="33" max="33" width="16" style="2" hidden="1" customWidth="1"/>
    <col min="34" max="34" width="21.42578125" style="2" hidden="1" customWidth="1"/>
    <col min="35" max="35" width="17.28515625" style="2" hidden="1" customWidth="1"/>
    <col min="36" max="36" width="11.7109375" style="2" hidden="1" customWidth="1"/>
    <col min="37" max="37" width="10.5703125" style="2" hidden="1" customWidth="1"/>
    <col min="38" max="39" width="0" style="2" hidden="1" customWidth="1"/>
    <col min="40" max="40" width="19.85546875" style="2" hidden="1" customWidth="1"/>
    <col min="41" max="41" width="15.140625" style="2" hidden="1" customWidth="1"/>
    <col min="42" max="42" width="16.85546875" style="2" hidden="1" customWidth="1"/>
    <col min="43" max="45" width="0" style="2" hidden="1" customWidth="1"/>
    <col min="46" max="46" width="11.140625" style="2" hidden="1" customWidth="1"/>
    <col min="47" max="48" width="0" style="2" hidden="1" customWidth="1"/>
    <col min="49" max="256" width="8.85546875" style="2"/>
    <col min="257" max="257" width="8.85546875" style="2" customWidth="1"/>
    <col min="258" max="258" width="24.140625" style="2" customWidth="1"/>
    <col min="259" max="259" width="19.5703125" style="2" customWidth="1"/>
    <col min="260" max="260" width="11" style="2" customWidth="1"/>
    <col min="261" max="261" width="10.140625" style="2" customWidth="1"/>
    <col min="262" max="263" width="14.28515625" style="2" customWidth="1"/>
    <col min="264" max="265" width="13.5703125" style="2" customWidth="1"/>
    <col min="266" max="266" width="10.28515625" style="2" customWidth="1"/>
    <col min="267" max="267" width="9.42578125" style="2" customWidth="1"/>
    <col min="268" max="268" width="12" style="2" customWidth="1"/>
    <col min="269" max="269" width="8.85546875" style="2" customWidth="1"/>
    <col min="270" max="270" width="10.7109375" style="2" customWidth="1"/>
    <col min="271" max="272" width="8.85546875" style="2" customWidth="1"/>
    <col min="273" max="273" width="15.140625" style="2" customWidth="1"/>
    <col min="274" max="274" width="10.7109375" style="2" customWidth="1"/>
    <col min="275" max="275" width="13" style="2" customWidth="1"/>
    <col min="276" max="276" width="19.7109375" style="2" customWidth="1"/>
    <col min="277" max="277" width="11.140625" style="2" customWidth="1"/>
    <col min="278" max="278" width="8.85546875" style="2" customWidth="1"/>
    <col min="279" max="279" width="11.85546875" style="2" customWidth="1"/>
    <col min="280" max="280" width="8.85546875" style="2" customWidth="1"/>
    <col min="281" max="281" width="12.42578125" style="2" customWidth="1"/>
    <col min="282" max="283" width="8.85546875" style="2" customWidth="1"/>
    <col min="284" max="284" width="16.7109375" style="2" customWidth="1"/>
    <col min="285" max="285" width="18" style="2" customWidth="1"/>
    <col min="286" max="286" width="17.85546875" style="2" customWidth="1"/>
    <col min="287" max="287" width="17.28515625" style="2" customWidth="1"/>
    <col min="288" max="288" width="10.42578125" style="2" customWidth="1"/>
    <col min="289" max="289" width="16" style="2" customWidth="1"/>
    <col min="290" max="290" width="21.42578125" style="2" customWidth="1"/>
    <col min="291" max="291" width="17.28515625" style="2" customWidth="1"/>
    <col min="292" max="292" width="11.7109375" style="2" customWidth="1"/>
    <col min="293" max="293" width="10.5703125" style="2" customWidth="1"/>
    <col min="294" max="295" width="8.85546875" style="2"/>
    <col min="296" max="296" width="19.85546875" style="2" customWidth="1"/>
    <col min="297" max="297" width="15.140625" style="2" customWidth="1"/>
    <col min="298" max="298" width="16.85546875" style="2" customWidth="1"/>
    <col min="299" max="301" width="8.85546875" style="2"/>
    <col min="302" max="302" width="11.140625" style="2" customWidth="1"/>
    <col min="303" max="512" width="8.85546875" style="2"/>
    <col min="513" max="513" width="8.85546875" style="2" customWidth="1"/>
    <col min="514" max="514" width="24.140625" style="2" customWidth="1"/>
    <col min="515" max="515" width="19.5703125" style="2" customWidth="1"/>
    <col min="516" max="516" width="11" style="2" customWidth="1"/>
    <col min="517" max="517" width="10.140625" style="2" customWidth="1"/>
    <col min="518" max="519" width="14.28515625" style="2" customWidth="1"/>
    <col min="520" max="521" width="13.5703125" style="2" customWidth="1"/>
    <col min="522" max="522" width="10.28515625" style="2" customWidth="1"/>
    <col min="523" max="523" width="9.42578125" style="2" customWidth="1"/>
    <col min="524" max="524" width="12" style="2" customWidth="1"/>
    <col min="525" max="525" width="8.85546875" style="2" customWidth="1"/>
    <col min="526" max="526" width="10.7109375" style="2" customWidth="1"/>
    <col min="527" max="528" width="8.85546875" style="2" customWidth="1"/>
    <col min="529" max="529" width="15.140625" style="2" customWidth="1"/>
    <col min="530" max="530" width="10.7109375" style="2" customWidth="1"/>
    <col min="531" max="531" width="13" style="2" customWidth="1"/>
    <col min="532" max="532" width="19.7109375" style="2" customWidth="1"/>
    <col min="533" max="533" width="11.140625" style="2" customWidth="1"/>
    <col min="534" max="534" width="8.85546875" style="2" customWidth="1"/>
    <col min="535" max="535" width="11.85546875" style="2" customWidth="1"/>
    <col min="536" max="536" width="8.85546875" style="2" customWidth="1"/>
    <col min="537" max="537" width="12.42578125" style="2" customWidth="1"/>
    <col min="538" max="539" width="8.85546875" style="2" customWidth="1"/>
    <col min="540" max="540" width="16.7109375" style="2" customWidth="1"/>
    <col min="541" max="541" width="18" style="2" customWidth="1"/>
    <col min="542" max="542" width="17.85546875" style="2" customWidth="1"/>
    <col min="543" max="543" width="17.28515625" style="2" customWidth="1"/>
    <col min="544" max="544" width="10.42578125" style="2" customWidth="1"/>
    <col min="545" max="545" width="16" style="2" customWidth="1"/>
    <col min="546" max="546" width="21.42578125" style="2" customWidth="1"/>
    <col min="547" max="547" width="17.28515625" style="2" customWidth="1"/>
    <col min="548" max="548" width="11.7109375" style="2" customWidth="1"/>
    <col min="549" max="549" width="10.5703125" style="2" customWidth="1"/>
    <col min="550" max="551" width="8.85546875" style="2"/>
    <col min="552" max="552" width="19.85546875" style="2" customWidth="1"/>
    <col min="553" max="553" width="15.140625" style="2" customWidth="1"/>
    <col min="554" max="554" width="16.85546875" style="2" customWidth="1"/>
    <col min="555" max="557" width="8.85546875" style="2"/>
    <col min="558" max="558" width="11.140625" style="2" customWidth="1"/>
    <col min="559" max="768" width="8.85546875" style="2"/>
    <col min="769" max="769" width="8.85546875" style="2" customWidth="1"/>
    <col min="770" max="770" width="24.140625" style="2" customWidth="1"/>
    <col min="771" max="771" width="19.5703125" style="2" customWidth="1"/>
    <col min="772" max="772" width="11" style="2" customWidth="1"/>
    <col min="773" max="773" width="10.140625" style="2" customWidth="1"/>
    <col min="774" max="775" width="14.28515625" style="2" customWidth="1"/>
    <col min="776" max="777" width="13.5703125" style="2" customWidth="1"/>
    <col min="778" max="778" width="10.28515625" style="2" customWidth="1"/>
    <col min="779" max="779" width="9.42578125" style="2" customWidth="1"/>
    <col min="780" max="780" width="12" style="2" customWidth="1"/>
    <col min="781" max="781" width="8.85546875" style="2" customWidth="1"/>
    <col min="782" max="782" width="10.7109375" style="2" customWidth="1"/>
    <col min="783" max="784" width="8.85546875" style="2" customWidth="1"/>
    <col min="785" max="785" width="15.140625" style="2" customWidth="1"/>
    <col min="786" max="786" width="10.7109375" style="2" customWidth="1"/>
    <col min="787" max="787" width="13" style="2" customWidth="1"/>
    <col min="788" max="788" width="19.7109375" style="2" customWidth="1"/>
    <col min="789" max="789" width="11.140625" style="2" customWidth="1"/>
    <col min="790" max="790" width="8.85546875" style="2" customWidth="1"/>
    <col min="791" max="791" width="11.85546875" style="2" customWidth="1"/>
    <col min="792" max="792" width="8.85546875" style="2" customWidth="1"/>
    <col min="793" max="793" width="12.42578125" style="2" customWidth="1"/>
    <col min="794" max="795" width="8.85546875" style="2" customWidth="1"/>
    <col min="796" max="796" width="16.7109375" style="2" customWidth="1"/>
    <col min="797" max="797" width="18" style="2" customWidth="1"/>
    <col min="798" max="798" width="17.85546875" style="2" customWidth="1"/>
    <col min="799" max="799" width="17.28515625" style="2" customWidth="1"/>
    <col min="800" max="800" width="10.42578125" style="2" customWidth="1"/>
    <col min="801" max="801" width="16" style="2" customWidth="1"/>
    <col min="802" max="802" width="21.42578125" style="2" customWidth="1"/>
    <col min="803" max="803" width="17.28515625" style="2" customWidth="1"/>
    <col min="804" max="804" width="11.7109375" style="2" customWidth="1"/>
    <col min="805" max="805" width="10.5703125" style="2" customWidth="1"/>
    <col min="806" max="807" width="8.85546875" style="2"/>
    <col min="808" max="808" width="19.85546875" style="2" customWidth="1"/>
    <col min="809" max="809" width="15.140625" style="2" customWidth="1"/>
    <col min="810" max="810" width="16.85546875" style="2" customWidth="1"/>
    <col min="811" max="813" width="8.85546875" style="2"/>
    <col min="814" max="814" width="11.140625" style="2" customWidth="1"/>
    <col min="815" max="1024" width="8.85546875" style="2"/>
    <col min="1025" max="1025" width="8.85546875" style="2" customWidth="1"/>
    <col min="1026" max="1026" width="24.140625" style="2" customWidth="1"/>
    <col min="1027" max="1027" width="19.5703125" style="2" customWidth="1"/>
    <col min="1028" max="1028" width="11" style="2" customWidth="1"/>
    <col min="1029" max="1029" width="10.140625" style="2" customWidth="1"/>
    <col min="1030" max="1031" width="14.28515625" style="2" customWidth="1"/>
    <col min="1032" max="1033" width="13.5703125" style="2" customWidth="1"/>
    <col min="1034" max="1034" width="10.28515625" style="2" customWidth="1"/>
    <col min="1035" max="1035" width="9.42578125" style="2" customWidth="1"/>
    <col min="1036" max="1036" width="12" style="2" customWidth="1"/>
    <col min="1037" max="1037" width="8.85546875" style="2" customWidth="1"/>
    <col min="1038" max="1038" width="10.7109375" style="2" customWidth="1"/>
    <col min="1039" max="1040" width="8.85546875" style="2" customWidth="1"/>
    <col min="1041" max="1041" width="15.140625" style="2" customWidth="1"/>
    <col min="1042" max="1042" width="10.7109375" style="2" customWidth="1"/>
    <col min="1043" max="1043" width="13" style="2" customWidth="1"/>
    <col min="1044" max="1044" width="19.7109375" style="2" customWidth="1"/>
    <col min="1045" max="1045" width="11.140625" style="2" customWidth="1"/>
    <col min="1046" max="1046" width="8.85546875" style="2" customWidth="1"/>
    <col min="1047" max="1047" width="11.85546875" style="2" customWidth="1"/>
    <col min="1048" max="1048" width="8.85546875" style="2" customWidth="1"/>
    <col min="1049" max="1049" width="12.42578125" style="2" customWidth="1"/>
    <col min="1050" max="1051" width="8.85546875" style="2" customWidth="1"/>
    <col min="1052" max="1052" width="16.7109375" style="2" customWidth="1"/>
    <col min="1053" max="1053" width="18" style="2" customWidth="1"/>
    <col min="1054" max="1054" width="17.85546875" style="2" customWidth="1"/>
    <col min="1055" max="1055" width="17.28515625" style="2" customWidth="1"/>
    <col min="1056" max="1056" width="10.42578125" style="2" customWidth="1"/>
    <col min="1057" max="1057" width="16" style="2" customWidth="1"/>
    <col min="1058" max="1058" width="21.42578125" style="2" customWidth="1"/>
    <col min="1059" max="1059" width="17.28515625" style="2" customWidth="1"/>
    <col min="1060" max="1060" width="11.7109375" style="2" customWidth="1"/>
    <col min="1061" max="1061" width="10.5703125" style="2" customWidth="1"/>
    <col min="1062" max="1063" width="8.85546875" style="2"/>
    <col min="1064" max="1064" width="19.85546875" style="2" customWidth="1"/>
    <col min="1065" max="1065" width="15.140625" style="2" customWidth="1"/>
    <col min="1066" max="1066" width="16.85546875" style="2" customWidth="1"/>
    <col min="1067" max="1069" width="8.85546875" style="2"/>
    <col min="1070" max="1070" width="11.140625" style="2" customWidth="1"/>
    <col min="1071" max="1280" width="8.85546875" style="2"/>
    <col min="1281" max="1281" width="8.85546875" style="2" customWidth="1"/>
    <col min="1282" max="1282" width="24.140625" style="2" customWidth="1"/>
    <col min="1283" max="1283" width="19.5703125" style="2" customWidth="1"/>
    <col min="1284" max="1284" width="11" style="2" customWidth="1"/>
    <col min="1285" max="1285" width="10.140625" style="2" customWidth="1"/>
    <col min="1286" max="1287" width="14.28515625" style="2" customWidth="1"/>
    <col min="1288" max="1289" width="13.5703125" style="2" customWidth="1"/>
    <col min="1290" max="1290" width="10.28515625" style="2" customWidth="1"/>
    <col min="1291" max="1291" width="9.42578125" style="2" customWidth="1"/>
    <col min="1292" max="1292" width="12" style="2" customWidth="1"/>
    <col min="1293" max="1293" width="8.85546875" style="2" customWidth="1"/>
    <col min="1294" max="1294" width="10.7109375" style="2" customWidth="1"/>
    <col min="1295" max="1296" width="8.85546875" style="2" customWidth="1"/>
    <col min="1297" max="1297" width="15.140625" style="2" customWidth="1"/>
    <col min="1298" max="1298" width="10.7109375" style="2" customWidth="1"/>
    <col min="1299" max="1299" width="13" style="2" customWidth="1"/>
    <col min="1300" max="1300" width="19.7109375" style="2" customWidth="1"/>
    <col min="1301" max="1301" width="11.140625" style="2" customWidth="1"/>
    <col min="1302" max="1302" width="8.85546875" style="2" customWidth="1"/>
    <col min="1303" max="1303" width="11.85546875" style="2" customWidth="1"/>
    <col min="1304" max="1304" width="8.85546875" style="2" customWidth="1"/>
    <col min="1305" max="1305" width="12.42578125" style="2" customWidth="1"/>
    <col min="1306" max="1307" width="8.85546875" style="2" customWidth="1"/>
    <col min="1308" max="1308" width="16.7109375" style="2" customWidth="1"/>
    <col min="1309" max="1309" width="18" style="2" customWidth="1"/>
    <col min="1310" max="1310" width="17.85546875" style="2" customWidth="1"/>
    <col min="1311" max="1311" width="17.28515625" style="2" customWidth="1"/>
    <col min="1312" max="1312" width="10.42578125" style="2" customWidth="1"/>
    <col min="1313" max="1313" width="16" style="2" customWidth="1"/>
    <col min="1314" max="1314" width="21.42578125" style="2" customWidth="1"/>
    <col min="1315" max="1315" width="17.28515625" style="2" customWidth="1"/>
    <col min="1316" max="1316" width="11.7109375" style="2" customWidth="1"/>
    <col min="1317" max="1317" width="10.5703125" style="2" customWidth="1"/>
    <col min="1318" max="1319" width="8.85546875" style="2"/>
    <col min="1320" max="1320" width="19.85546875" style="2" customWidth="1"/>
    <col min="1321" max="1321" width="15.140625" style="2" customWidth="1"/>
    <col min="1322" max="1322" width="16.85546875" style="2" customWidth="1"/>
    <col min="1323" max="1325" width="8.85546875" style="2"/>
    <col min="1326" max="1326" width="11.140625" style="2" customWidth="1"/>
    <col min="1327" max="1536" width="8.85546875" style="2"/>
    <col min="1537" max="1537" width="8.85546875" style="2" customWidth="1"/>
    <col min="1538" max="1538" width="24.140625" style="2" customWidth="1"/>
    <col min="1539" max="1539" width="19.5703125" style="2" customWidth="1"/>
    <col min="1540" max="1540" width="11" style="2" customWidth="1"/>
    <col min="1541" max="1541" width="10.140625" style="2" customWidth="1"/>
    <col min="1542" max="1543" width="14.28515625" style="2" customWidth="1"/>
    <col min="1544" max="1545" width="13.5703125" style="2" customWidth="1"/>
    <col min="1546" max="1546" width="10.28515625" style="2" customWidth="1"/>
    <col min="1547" max="1547" width="9.42578125" style="2" customWidth="1"/>
    <col min="1548" max="1548" width="12" style="2" customWidth="1"/>
    <col min="1549" max="1549" width="8.85546875" style="2" customWidth="1"/>
    <col min="1550" max="1550" width="10.7109375" style="2" customWidth="1"/>
    <col min="1551" max="1552" width="8.85546875" style="2" customWidth="1"/>
    <col min="1553" max="1553" width="15.140625" style="2" customWidth="1"/>
    <col min="1554" max="1554" width="10.7109375" style="2" customWidth="1"/>
    <col min="1555" max="1555" width="13" style="2" customWidth="1"/>
    <col min="1556" max="1556" width="19.7109375" style="2" customWidth="1"/>
    <col min="1557" max="1557" width="11.140625" style="2" customWidth="1"/>
    <col min="1558" max="1558" width="8.85546875" style="2" customWidth="1"/>
    <col min="1559" max="1559" width="11.85546875" style="2" customWidth="1"/>
    <col min="1560" max="1560" width="8.85546875" style="2" customWidth="1"/>
    <col min="1561" max="1561" width="12.42578125" style="2" customWidth="1"/>
    <col min="1562" max="1563" width="8.85546875" style="2" customWidth="1"/>
    <col min="1564" max="1564" width="16.7109375" style="2" customWidth="1"/>
    <col min="1565" max="1565" width="18" style="2" customWidth="1"/>
    <col min="1566" max="1566" width="17.85546875" style="2" customWidth="1"/>
    <col min="1567" max="1567" width="17.28515625" style="2" customWidth="1"/>
    <col min="1568" max="1568" width="10.42578125" style="2" customWidth="1"/>
    <col min="1569" max="1569" width="16" style="2" customWidth="1"/>
    <col min="1570" max="1570" width="21.42578125" style="2" customWidth="1"/>
    <col min="1571" max="1571" width="17.28515625" style="2" customWidth="1"/>
    <col min="1572" max="1572" width="11.7109375" style="2" customWidth="1"/>
    <col min="1573" max="1573" width="10.5703125" style="2" customWidth="1"/>
    <col min="1574" max="1575" width="8.85546875" style="2"/>
    <col min="1576" max="1576" width="19.85546875" style="2" customWidth="1"/>
    <col min="1577" max="1577" width="15.140625" style="2" customWidth="1"/>
    <col min="1578" max="1578" width="16.85546875" style="2" customWidth="1"/>
    <col min="1579" max="1581" width="8.85546875" style="2"/>
    <col min="1582" max="1582" width="11.140625" style="2" customWidth="1"/>
    <col min="1583" max="1792" width="8.85546875" style="2"/>
    <col min="1793" max="1793" width="8.85546875" style="2" customWidth="1"/>
    <col min="1794" max="1794" width="24.140625" style="2" customWidth="1"/>
    <col min="1795" max="1795" width="19.5703125" style="2" customWidth="1"/>
    <col min="1796" max="1796" width="11" style="2" customWidth="1"/>
    <col min="1797" max="1797" width="10.140625" style="2" customWidth="1"/>
    <col min="1798" max="1799" width="14.28515625" style="2" customWidth="1"/>
    <col min="1800" max="1801" width="13.5703125" style="2" customWidth="1"/>
    <col min="1802" max="1802" width="10.28515625" style="2" customWidth="1"/>
    <col min="1803" max="1803" width="9.42578125" style="2" customWidth="1"/>
    <col min="1804" max="1804" width="12" style="2" customWidth="1"/>
    <col min="1805" max="1805" width="8.85546875" style="2" customWidth="1"/>
    <col min="1806" max="1806" width="10.7109375" style="2" customWidth="1"/>
    <col min="1807" max="1808" width="8.85546875" style="2" customWidth="1"/>
    <col min="1809" max="1809" width="15.140625" style="2" customWidth="1"/>
    <col min="1810" max="1810" width="10.7109375" style="2" customWidth="1"/>
    <col min="1811" max="1811" width="13" style="2" customWidth="1"/>
    <col min="1812" max="1812" width="19.7109375" style="2" customWidth="1"/>
    <col min="1813" max="1813" width="11.140625" style="2" customWidth="1"/>
    <col min="1814" max="1814" width="8.85546875" style="2" customWidth="1"/>
    <col min="1815" max="1815" width="11.85546875" style="2" customWidth="1"/>
    <col min="1816" max="1816" width="8.85546875" style="2" customWidth="1"/>
    <col min="1817" max="1817" width="12.42578125" style="2" customWidth="1"/>
    <col min="1818" max="1819" width="8.85546875" style="2" customWidth="1"/>
    <col min="1820" max="1820" width="16.7109375" style="2" customWidth="1"/>
    <col min="1821" max="1821" width="18" style="2" customWidth="1"/>
    <col min="1822" max="1822" width="17.85546875" style="2" customWidth="1"/>
    <col min="1823" max="1823" width="17.28515625" style="2" customWidth="1"/>
    <col min="1824" max="1824" width="10.42578125" style="2" customWidth="1"/>
    <col min="1825" max="1825" width="16" style="2" customWidth="1"/>
    <col min="1826" max="1826" width="21.42578125" style="2" customWidth="1"/>
    <col min="1827" max="1827" width="17.28515625" style="2" customWidth="1"/>
    <col min="1828" max="1828" width="11.7109375" style="2" customWidth="1"/>
    <col min="1829" max="1829" width="10.5703125" style="2" customWidth="1"/>
    <col min="1830" max="1831" width="8.85546875" style="2"/>
    <col min="1832" max="1832" width="19.85546875" style="2" customWidth="1"/>
    <col min="1833" max="1833" width="15.140625" style="2" customWidth="1"/>
    <col min="1834" max="1834" width="16.85546875" style="2" customWidth="1"/>
    <col min="1835" max="1837" width="8.85546875" style="2"/>
    <col min="1838" max="1838" width="11.140625" style="2" customWidth="1"/>
    <col min="1839" max="2048" width="8.85546875" style="2"/>
    <col min="2049" max="2049" width="8.85546875" style="2" customWidth="1"/>
    <col min="2050" max="2050" width="24.140625" style="2" customWidth="1"/>
    <col min="2051" max="2051" width="19.5703125" style="2" customWidth="1"/>
    <col min="2052" max="2052" width="11" style="2" customWidth="1"/>
    <col min="2053" max="2053" width="10.140625" style="2" customWidth="1"/>
    <col min="2054" max="2055" width="14.28515625" style="2" customWidth="1"/>
    <col min="2056" max="2057" width="13.5703125" style="2" customWidth="1"/>
    <col min="2058" max="2058" width="10.28515625" style="2" customWidth="1"/>
    <col min="2059" max="2059" width="9.42578125" style="2" customWidth="1"/>
    <col min="2060" max="2060" width="12" style="2" customWidth="1"/>
    <col min="2061" max="2061" width="8.85546875" style="2" customWidth="1"/>
    <col min="2062" max="2062" width="10.7109375" style="2" customWidth="1"/>
    <col min="2063" max="2064" width="8.85546875" style="2" customWidth="1"/>
    <col min="2065" max="2065" width="15.140625" style="2" customWidth="1"/>
    <col min="2066" max="2066" width="10.7109375" style="2" customWidth="1"/>
    <col min="2067" max="2067" width="13" style="2" customWidth="1"/>
    <col min="2068" max="2068" width="19.7109375" style="2" customWidth="1"/>
    <col min="2069" max="2069" width="11.140625" style="2" customWidth="1"/>
    <col min="2070" max="2070" width="8.85546875" style="2" customWidth="1"/>
    <col min="2071" max="2071" width="11.85546875" style="2" customWidth="1"/>
    <col min="2072" max="2072" width="8.85546875" style="2" customWidth="1"/>
    <col min="2073" max="2073" width="12.42578125" style="2" customWidth="1"/>
    <col min="2074" max="2075" width="8.85546875" style="2" customWidth="1"/>
    <col min="2076" max="2076" width="16.7109375" style="2" customWidth="1"/>
    <col min="2077" max="2077" width="18" style="2" customWidth="1"/>
    <col min="2078" max="2078" width="17.85546875" style="2" customWidth="1"/>
    <col min="2079" max="2079" width="17.28515625" style="2" customWidth="1"/>
    <col min="2080" max="2080" width="10.42578125" style="2" customWidth="1"/>
    <col min="2081" max="2081" width="16" style="2" customWidth="1"/>
    <col min="2082" max="2082" width="21.42578125" style="2" customWidth="1"/>
    <col min="2083" max="2083" width="17.28515625" style="2" customWidth="1"/>
    <col min="2084" max="2084" width="11.7109375" style="2" customWidth="1"/>
    <col min="2085" max="2085" width="10.5703125" style="2" customWidth="1"/>
    <col min="2086" max="2087" width="8.85546875" style="2"/>
    <col min="2088" max="2088" width="19.85546875" style="2" customWidth="1"/>
    <col min="2089" max="2089" width="15.140625" style="2" customWidth="1"/>
    <col min="2090" max="2090" width="16.85546875" style="2" customWidth="1"/>
    <col min="2091" max="2093" width="8.85546875" style="2"/>
    <col min="2094" max="2094" width="11.140625" style="2" customWidth="1"/>
    <col min="2095" max="2304" width="8.85546875" style="2"/>
    <col min="2305" max="2305" width="8.85546875" style="2" customWidth="1"/>
    <col min="2306" max="2306" width="24.140625" style="2" customWidth="1"/>
    <col min="2307" max="2307" width="19.5703125" style="2" customWidth="1"/>
    <col min="2308" max="2308" width="11" style="2" customWidth="1"/>
    <col min="2309" max="2309" width="10.140625" style="2" customWidth="1"/>
    <col min="2310" max="2311" width="14.28515625" style="2" customWidth="1"/>
    <col min="2312" max="2313" width="13.5703125" style="2" customWidth="1"/>
    <col min="2314" max="2314" width="10.28515625" style="2" customWidth="1"/>
    <col min="2315" max="2315" width="9.42578125" style="2" customWidth="1"/>
    <col min="2316" max="2316" width="12" style="2" customWidth="1"/>
    <col min="2317" max="2317" width="8.85546875" style="2" customWidth="1"/>
    <col min="2318" max="2318" width="10.7109375" style="2" customWidth="1"/>
    <col min="2319" max="2320" width="8.85546875" style="2" customWidth="1"/>
    <col min="2321" max="2321" width="15.140625" style="2" customWidth="1"/>
    <col min="2322" max="2322" width="10.7109375" style="2" customWidth="1"/>
    <col min="2323" max="2323" width="13" style="2" customWidth="1"/>
    <col min="2324" max="2324" width="19.7109375" style="2" customWidth="1"/>
    <col min="2325" max="2325" width="11.140625" style="2" customWidth="1"/>
    <col min="2326" max="2326" width="8.85546875" style="2" customWidth="1"/>
    <col min="2327" max="2327" width="11.85546875" style="2" customWidth="1"/>
    <col min="2328" max="2328" width="8.85546875" style="2" customWidth="1"/>
    <col min="2329" max="2329" width="12.42578125" style="2" customWidth="1"/>
    <col min="2330" max="2331" width="8.85546875" style="2" customWidth="1"/>
    <col min="2332" max="2332" width="16.7109375" style="2" customWidth="1"/>
    <col min="2333" max="2333" width="18" style="2" customWidth="1"/>
    <col min="2334" max="2334" width="17.85546875" style="2" customWidth="1"/>
    <col min="2335" max="2335" width="17.28515625" style="2" customWidth="1"/>
    <col min="2336" max="2336" width="10.42578125" style="2" customWidth="1"/>
    <col min="2337" max="2337" width="16" style="2" customWidth="1"/>
    <col min="2338" max="2338" width="21.42578125" style="2" customWidth="1"/>
    <col min="2339" max="2339" width="17.28515625" style="2" customWidth="1"/>
    <col min="2340" max="2340" width="11.7109375" style="2" customWidth="1"/>
    <col min="2341" max="2341" width="10.5703125" style="2" customWidth="1"/>
    <col min="2342" max="2343" width="8.85546875" style="2"/>
    <col min="2344" max="2344" width="19.85546875" style="2" customWidth="1"/>
    <col min="2345" max="2345" width="15.140625" style="2" customWidth="1"/>
    <col min="2346" max="2346" width="16.85546875" style="2" customWidth="1"/>
    <col min="2347" max="2349" width="8.85546875" style="2"/>
    <col min="2350" max="2350" width="11.140625" style="2" customWidth="1"/>
    <col min="2351" max="2560" width="8.85546875" style="2"/>
    <col min="2561" max="2561" width="8.85546875" style="2" customWidth="1"/>
    <col min="2562" max="2562" width="24.140625" style="2" customWidth="1"/>
    <col min="2563" max="2563" width="19.5703125" style="2" customWidth="1"/>
    <col min="2564" max="2564" width="11" style="2" customWidth="1"/>
    <col min="2565" max="2565" width="10.140625" style="2" customWidth="1"/>
    <col min="2566" max="2567" width="14.28515625" style="2" customWidth="1"/>
    <col min="2568" max="2569" width="13.5703125" style="2" customWidth="1"/>
    <col min="2570" max="2570" width="10.28515625" style="2" customWidth="1"/>
    <col min="2571" max="2571" width="9.42578125" style="2" customWidth="1"/>
    <col min="2572" max="2572" width="12" style="2" customWidth="1"/>
    <col min="2573" max="2573" width="8.85546875" style="2" customWidth="1"/>
    <col min="2574" max="2574" width="10.7109375" style="2" customWidth="1"/>
    <col min="2575" max="2576" width="8.85546875" style="2" customWidth="1"/>
    <col min="2577" max="2577" width="15.140625" style="2" customWidth="1"/>
    <col min="2578" max="2578" width="10.7109375" style="2" customWidth="1"/>
    <col min="2579" max="2579" width="13" style="2" customWidth="1"/>
    <col min="2580" max="2580" width="19.7109375" style="2" customWidth="1"/>
    <col min="2581" max="2581" width="11.140625" style="2" customWidth="1"/>
    <col min="2582" max="2582" width="8.85546875" style="2" customWidth="1"/>
    <col min="2583" max="2583" width="11.85546875" style="2" customWidth="1"/>
    <col min="2584" max="2584" width="8.85546875" style="2" customWidth="1"/>
    <col min="2585" max="2585" width="12.42578125" style="2" customWidth="1"/>
    <col min="2586" max="2587" width="8.85546875" style="2" customWidth="1"/>
    <col min="2588" max="2588" width="16.7109375" style="2" customWidth="1"/>
    <col min="2589" max="2589" width="18" style="2" customWidth="1"/>
    <col min="2590" max="2590" width="17.85546875" style="2" customWidth="1"/>
    <col min="2591" max="2591" width="17.28515625" style="2" customWidth="1"/>
    <col min="2592" max="2592" width="10.42578125" style="2" customWidth="1"/>
    <col min="2593" max="2593" width="16" style="2" customWidth="1"/>
    <col min="2594" max="2594" width="21.42578125" style="2" customWidth="1"/>
    <col min="2595" max="2595" width="17.28515625" style="2" customWidth="1"/>
    <col min="2596" max="2596" width="11.7109375" style="2" customWidth="1"/>
    <col min="2597" max="2597" width="10.5703125" style="2" customWidth="1"/>
    <col min="2598" max="2599" width="8.85546875" style="2"/>
    <col min="2600" max="2600" width="19.85546875" style="2" customWidth="1"/>
    <col min="2601" max="2601" width="15.140625" style="2" customWidth="1"/>
    <col min="2602" max="2602" width="16.85546875" style="2" customWidth="1"/>
    <col min="2603" max="2605" width="8.85546875" style="2"/>
    <col min="2606" max="2606" width="11.140625" style="2" customWidth="1"/>
    <col min="2607" max="2816" width="8.85546875" style="2"/>
    <col min="2817" max="2817" width="8.85546875" style="2" customWidth="1"/>
    <col min="2818" max="2818" width="24.140625" style="2" customWidth="1"/>
    <col min="2819" max="2819" width="19.5703125" style="2" customWidth="1"/>
    <col min="2820" max="2820" width="11" style="2" customWidth="1"/>
    <col min="2821" max="2821" width="10.140625" style="2" customWidth="1"/>
    <col min="2822" max="2823" width="14.28515625" style="2" customWidth="1"/>
    <col min="2824" max="2825" width="13.5703125" style="2" customWidth="1"/>
    <col min="2826" max="2826" width="10.28515625" style="2" customWidth="1"/>
    <col min="2827" max="2827" width="9.42578125" style="2" customWidth="1"/>
    <col min="2828" max="2828" width="12" style="2" customWidth="1"/>
    <col min="2829" max="2829" width="8.85546875" style="2" customWidth="1"/>
    <col min="2830" max="2830" width="10.7109375" style="2" customWidth="1"/>
    <col min="2831" max="2832" width="8.85546875" style="2" customWidth="1"/>
    <col min="2833" max="2833" width="15.140625" style="2" customWidth="1"/>
    <col min="2834" max="2834" width="10.7109375" style="2" customWidth="1"/>
    <col min="2835" max="2835" width="13" style="2" customWidth="1"/>
    <col min="2836" max="2836" width="19.7109375" style="2" customWidth="1"/>
    <col min="2837" max="2837" width="11.140625" style="2" customWidth="1"/>
    <col min="2838" max="2838" width="8.85546875" style="2" customWidth="1"/>
    <col min="2839" max="2839" width="11.85546875" style="2" customWidth="1"/>
    <col min="2840" max="2840" width="8.85546875" style="2" customWidth="1"/>
    <col min="2841" max="2841" width="12.42578125" style="2" customWidth="1"/>
    <col min="2842" max="2843" width="8.85546875" style="2" customWidth="1"/>
    <col min="2844" max="2844" width="16.7109375" style="2" customWidth="1"/>
    <col min="2845" max="2845" width="18" style="2" customWidth="1"/>
    <col min="2846" max="2846" width="17.85546875" style="2" customWidth="1"/>
    <col min="2847" max="2847" width="17.28515625" style="2" customWidth="1"/>
    <col min="2848" max="2848" width="10.42578125" style="2" customWidth="1"/>
    <col min="2849" max="2849" width="16" style="2" customWidth="1"/>
    <col min="2850" max="2850" width="21.42578125" style="2" customWidth="1"/>
    <col min="2851" max="2851" width="17.28515625" style="2" customWidth="1"/>
    <col min="2852" max="2852" width="11.7109375" style="2" customWidth="1"/>
    <col min="2853" max="2853" width="10.5703125" style="2" customWidth="1"/>
    <col min="2854" max="2855" width="8.85546875" style="2"/>
    <col min="2856" max="2856" width="19.85546875" style="2" customWidth="1"/>
    <col min="2857" max="2857" width="15.140625" style="2" customWidth="1"/>
    <col min="2858" max="2858" width="16.85546875" style="2" customWidth="1"/>
    <col min="2859" max="2861" width="8.85546875" style="2"/>
    <col min="2862" max="2862" width="11.140625" style="2" customWidth="1"/>
    <col min="2863" max="3072" width="8.85546875" style="2"/>
    <col min="3073" max="3073" width="8.85546875" style="2" customWidth="1"/>
    <col min="3074" max="3074" width="24.140625" style="2" customWidth="1"/>
    <col min="3075" max="3075" width="19.5703125" style="2" customWidth="1"/>
    <col min="3076" max="3076" width="11" style="2" customWidth="1"/>
    <col min="3077" max="3077" width="10.140625" style="2" customWidth="1"/>
    <col min="3078" max="3079" width="14.28515625" style="2" customWidth="1"/>
    <col min="3080" max="3081" width="13.5703125" style="2" customWidth="1"/>
    <col min="3082" max="3082" width="10.28515625" style="2" customWidth="1"/>
    <col min="3083" max="3083" width="9.42578125" style="2" customWidth="1"/>
    <col min="3084" max="3084" width="12" style="2" customWidth="1"/>
    <col min="3085" max="3085" width="8.85546875" style="2" customWidth="1"/>
    <col min="3086" max="3086" width="10.7109375" style="2" customWidth="1"/>
    <col min="3087" max="3088" width="8.85546875" style="2" customWidth="1"/>
    <col min="3089" max="3089" width="15.140625" style="2" customWidth="1"/>
    <col min="3090" max="3090" width="10.7109375" style="2" customWidth="1"/>
    <col min="3091" max="3091" width="13" style="2" customWidth="1"/>
    <col min="3092" max="3092" width="19.7109375" style="2" customWidth="1"/>
    <col min="3093" max="3093" width="11.140625" style="2" customWidth="1"/>
    <col min="3094" max="3094" width="8.85546875" style="2" customWidth="1"/>
    <col min="3095" max="3095" width="11.85546875" style="2" customWidth="1"/>
    <col min="3096" max="3096" width="8.85546875" style="2" customWidth="1"/>
    <col min="3097" max="3097" width="12.42578125" style="2" customWidth="1"/>
    <col min="3098" max="3099" width="8.85546875" style="2" customWidth="1"/>
    <col min="3100" max="3100" width="16.7109375" style="2" customWidth="1"/>
    <col min="3101" max="3101" width="18" style="2" customWidth="1"/>
    <col min="3102" max="3102" width="17.85546875" style="2" customWidth="1"/>
    <col min="3103" max="3103" width="17.28515625" style="2" customWidth="1"/>
    <col min="3104" max="3104" width="10.42578125" style="2" customWidth="1"/>
    <col min="3105" max="3105" width="16" style="2" customWidth="1"/>
    <col min="3106" max="3106" width="21.42578125" style="2" customWidth="1"/>
    <col min="3107" max="3107" width="17.28515625" style="2" customWidth="1"/>
    <col min="3108" max="3108" width="11.7109375" style="2" customWidth="1"/>
    <col min="3109" max="3109" width="10.5703125" style="2" customWidth="1"/>
    <col min="3110" max="3111" width="8.85546875" style="2"/>
    <col min="3112" max="3112" width="19.85546875" style="2" customWidth="1"/>
    <col min="3113" max="3113" width="15.140625" style="2" customWidth="1"/>
    <col min="3114" max="3114" width="16.85546875" style="2" customWidth="1"/>
    <col min="3115" max="3117" width="8.85546875" style="2"/>
    <col min="3118" max="3118" width="11.140625" style="2" customWidth="1"/>
    <col min="3119" max="3328" width="8.85546875" style="2"/>
    <col min="3329" max="3329" width="8.85546875" style="2" customWidth="1"/>
    <col min="3330" max="3330" width="24.140625" style="2" customWidth="1"/>
    <col min="3331" max="3331" width="19.5703125" style="2" customWidth="1"/>
    <col min="3332" max="3332" width="11" style="2" customWidth="1"/>
    <col min="3333" max="3333" width="10.140625" style="2" customWidth="1"/>
    <col min="3334" max="3335" width="14.28515625" style="2" customWidth="1"/>
    <col min="3336" max="3337" width="13.5703125" style="2" customWidth="1"/>
    <col min="3338" max="3338" width="10.28515625" style="2" customWidth="1"/>
    <col min="3339" max="3339" width="9.42578125" style="2" customWidth="1"/>
    <col min="3340" max="3340" width="12" style="2" customWidth="1"/>
    <col min="3341" max="3341" width="8.85546875" style="2" customWidth="1"/>
    <col min="3342" max="3342" width="10.7109375" style="2" customWidth="1"/>
    <col min="3343" max="3344" width="8.85546875" style="2" customWidth="1"/>
    <col min="3345" max="3345" width="15.140625" style="2" customWidth="1"/>
    <col min="3346" max="3346" width="10.7109375" style="2" customWidth="1"/>
    <col min="3347" max="3347" width="13" style="2" customWidth="1"/>
    <col min="3348" max="3348" width="19.7109375" style="2" customWidth="1"/>
    <col min="3349" max="3349" width="11.140625" style="2" customWidth="1"/>
    <col min="3350" max="3350" width="8.85546875" style="2" customWidth="1"/>
    <col min="3351" max="3351" width="11.85546875" style="2" customWidth="1"/>
    <col min="3352" max="3352" width="8.85546875" style="2" customWidth="1"/>
    <col min="3353" max="3353" width="12.42578125" style="2" customWidth="1"/>
    <col min="3354" max="3355" width="8.85546875" style="2" customWidth="1"/>
    <col min="3356" max="3356" width="16.7109375" style="2" customWidth="1"/>
    <col min="3357" max="3357" width="18" style="2" customWidth="1"/>
    <col min="3358" max="3358" width="17.85546875" style="2" customWidth="1"/>
    <col min="3359" max="3359" width="17.28515625" style="2" customWidth="1"/>
    <col min="3360" max="3360" width="10.42578125" style="2" customWidth="1"/>
    <col min="3361" max="3361" width="16" style="2" customWidth="1"/>
    <col min="3362" max="3362" width="21.42578125" style="2" customWidth="1"/>
    <col min="3363" max="3363" width="17.28515625" style="2" customWidth="1"/>
    <col min="3364" max="3364" width="11.7109375" style="2" customWidth="1"/>
    <col min="3365" max="3365" width="10.5703125" style="2" customWidth="1"/>
    <col min="3366" max="3367" width="8.85546875" style="2"/>
    <col min="3368" max="3368" width="19.85546875" style="2" customWidth="1"/>
    <col min="3369" max="3369" width="15.140625" style="2" customWidth="1"/>
    <col min="3370" max="3370" width="16.85546875" style="2" customWidth="1"/>
    <col min="3371" max="3373" width="8.85546875" style="2"/>
    <col min="3374" max="3374" width="11.140625" style="2" customWidth="1"/>
    <col min="3375" max="3584" width="8.85546875" style="2"/>
    <col min="3585" max="3585" width="8.85546875" style="2" customWidth="1"/>
    <col min="3586" max="3586" width="24.140625" style="2" customWidth="1"/>
    <col min="3587" max="3587" width="19.5703125" style="2" customWidth="1"/>
    <col min="3588" max="3588" width="11" style="2" customWidth="1"/>
    <col min="3589" max="3589" width="10.140625" style="2" customWidth="1"/>
    <col min="3590" max="3591" width="14.28515625" style="2" customWidth="1"/>
    <col min="3592" max="3593" width="13.5703125" style="2" customWidth="1"/>
    <col min="3594" max="3594" width="10.28515625" style="2" customWidth="1"/>
    <col min="3595" max="3595" width="9.42578125" style="2" customWidth="1"/>
    <col min="3596" max="3596" width="12" style="2" customWidth="1"/>
    <col min="3597" max="3597" width="8.85546875" style="2" customWidth="1"/>
    <col min="3598" max="3598" width="10.7109375" style="2" customWidth="1"/>
    <col min="3599" max="3600" width="8.85546875" style="2" customWidth="1"/>
    <col min="3601" max="3601" width="15.140625" style="2" customWidth="1"/>
    <col min="3602" max="3602" width="10.7109375" style="2" customWidth="1"/>
    <col min="3603" max="3603" width="13" style="2" customWidth="1"/>
    <col min="3604" max="3604" width="19.7109375" style="2" customWidth="1"/>
    <col min="3605" max="3605" width="11.140625" style="2" customWidth="1"/>
    <col min="3606" max="3606" width="8.85546875" style="2" customWidth="1"/>
    <col min="3607" max="3607" width="11.85546875" style="2" customWidth="1"/>
    <col min="3608" max="3608" width="8.85546875" style="2" customWidth="1"/>
    <col min="3609" max="3609" width="12.42578125" style="2" customWidth="1"/>
    <col min="3610" max="3611" width="8.85546875" style="2" customWidth="1"/>
    <col min="3612" max="3612" width="16.7109375" style="2" customWidth="1"/>
    <col min="3613" max="3613" width="18" style="2" customWidth="1"/>
    <col min="3614" max="3614" width="17.85546875" style="2" customWidth="1"/>
    <col min="3615" max="3615" width="17.28515625" style="2" customWidth="1"/>
    <col min="3616" max="3616" width="10.42578125" style="2" customWidth="1"/>
    <col min="3617" max="3617" width="16" style="2" customWidth="1"/>
    <col min="3618" max="3618" width="21.42578125" style="2" customWidth="1"/>
    <col min="3619" max="3619" width="17.28515625" style="2" customWidth="1"/>
    <col min="3620" max="3620" width="11.7109375" style="2" customWidth="1"/>
    <col min="3621" max="3621" width="10.5703125" style="2" customWidth="1"/>
    <col min="3622" max="3623" width="8.85546875" style="2"/>
    <col min="3624" max="3624" width="19.85546875" style="2" customWidth="1"/>
    <col min="3625" max="3625" width="15.140625" style="2" customWidth="1"/>
    <col min="3626" max="3626" width="16.85546875" style="2" customWidth="1"/>
    <col min="3627" max="3629" width="8.85546875" style="2"/>
    <col min="3630" max="3630" width="11.140625" style="2" customWidth="1"/>
    <col min="3631" max="3840" width="8.85546875" style="2"/>
    <col min="3841" max="3841" width="8.85546875" style="2" customWidth="1"/>
    <col min="3842" max="3842" width="24.140625" style="2" customWidth="1"/>
    <col min="3843" max="3843" width="19.5703125" style="2" customWidth="1"/>
    <col min="3844" max="3844" width="11" style="2" customWidth="1"/>
    <col min="3845" max="3845" width="10.140625" style="2" customWidth="1"/>
    <col min="3846" max="3847" width="14.28515625" style="2" customWidth="1"/>
    <col min="3848" max="3849" width="13.5703125" style="2" customWidth="1"/>
    <col min="3850" max="3850" width="10.28515625" style="2" customWidth="1"/>
    <col min="3851" max="3851" width="9.42578125" style="2" customWidth="1"/>
    <col min="3852" max="3852" width="12" style="2" customWidth="1"/>
    <col min="3853" max="3853" width="8.85546875" style="2" customWidth="1"/>
    <col min="3854" max="3854" width="10.7109375" style="2" customWidth="1"/>
    <col min="3855" max="3856" width="8.85546875" style="2" customWidth="1"/>
    <col min="3857" max="3857" width="15.140625" style="2" customWidth="1"/>
    <col min="3858" max="3858" width="10.7109375" style="2" customWidth="1"/>
    <col min="3859" max="3859" width="13" style="2" customWidth="1"/>
    <col min="3860" max="3860" width="19.7109375" style="2" customWidth="1"/>
    <col min="3861" max="3861" width="11.140625" style="2" customWidth="1"/>
    <col min="3862" max="3862" width="8.85546875" style="2" customWidth="1"/>
    <col min="3863" max="3863" width="11.85546875" style="2" customWidth="1"/>
    <col min="3864" max="3864" width="8.85546875" style="2" customWidth="1"/>
    <col min="3865" max="3865" width="12.42578125" style="2" customWidth="1"/>
    <col min="3866" max="3867" width="8.85546875" style="2" customWidth="1"/>
    <col min="3868" max="3868" width="16.7109375" style="2" customWidth="1"/>
    <col min="3869" max="3869" width="18" style="2" customWidth="1"/>
    <col min="3870" max="3870" width="17.85546875" style="2" customWidth="1"/>
    <col min="3871" max="3871" width="17.28515625" style="2" customWidth="1"/>
    <col min="3872" max="3872" width="10.42578125" style="2" customWidth="1"/>
    <col min="3873" max="3873" width="16" style="2" customWidth="1"/>
    <col min="3874" max="3874" width="21.42578125" style="2" customWidth="1"/>
    <col min="3875" max="3875" width="17.28515625" style="2" customWidth="1"/>
    <col min="3876" max="3876" width="11.7109375" style="2" customWidth="1"/>
    <col min="3877" max="3877" width="10.5703125" style="2" customWidth="1"/>
    <col min="3878" max="3879" width="8.85546875" style="2"/>
    <col min="3880" max="3880" width="19.85546875" style="2" customWidth="1"/>
    <col min="3881" max="3881" width="15.140625" style="2" customWidth="1"/>
    <col min="3882" max="3882" width="16.85546875" style="2" customWidth="1"/>
    <col min="3883" max="3885" width="8.85546875" style="2"/>
    <col min="3886" max="3886" width="11.140625" style="2" customWidth="1"/>
    <col min="3887" max="4096" width="8.85546875" style="2"/>
    <col min="4097" max="4097" width="8.85546875" style="2" customWidth="1"/>
    <col min="4098" max="4098" width="24.140625" style="2" customWidth="1"/>
    <col min="4099" max="4099" width="19.5703125" style="2" customWidth="1"/>
    <col min="4100" max="4100" width="11" style="2" customWidth="1"/>
    <col min="4101" max="4101" width="10.140625" style="2" customWidth="1"/>
    <col min="4102" max="4103" width="14.28515625" style="2" customWidth="1"/>
    <col min="4104" max="4105" width="13.5703125" style="2" customWidth="1"/>
    <col min="4106" max="4106" width="10.28515625" style="2" customWidth="1"/>
    <col min="4107" max="4107" width="9.42578125" style="2" customWidth="1"/>
    <col min="4108" max="4108" width="12" style="2" customWidth="1"/>
    <col min="4109" max="4109" width="8.85546875" style="2" customWidth="1"/>
    <col min="4110" max="4110" width="10.7109375" style="2" customWidth="1"/>
    <col min="4111" max="4112" width="8.85546875" style="2" customWidth="1"/>
    <col min="4113" max="4113" width="15.140625" style="2" customWidth="1"/>
    <col min="4114" max="4114" width="10.7109375" style="2" customWidth="1"/>
    <col min="4115" max="4115" width="13" style="2" customWidth="1"/>
    <col min="4116" max="4116" width="19.7109375" style="2" customWidth="1"/>
    <col min="4117" max="4117" width="11.140625" style="2" customWidth="1"/>
    <col min="4118" max="4118" width="8.85546875" style="2" customWidth="1"/>
    <col min="4119" max="4119" width="11.85546875" style="2" customWidth="1"/>
    <col min="4120" max="4120" width="8.85546875" style="2" customWidth="1"/>
    <col min="4121" max="4121" width="12.42578125" style="2" customWidth="1"/>
    <col min="4122" max="4123" width="8.85546875" style="2" customWidth="1"/>
    <col min="4124" max="4124" width="16.7109375" style="2" customWidth="1"/>
    <col min="4125" max="4125" width="18" style="2" customWidth="1"/>
    <col min="4126" max="4126" width="17.85546875" style="2" customWidth="1"/>
    <col min="4127" max="4127" width="17.28515625" style="2" customWidth="1"/>
    <col min="4128" max="4128" width="10.42578125" style="2" customWidth="1"/>
    <col min="4129" max="4129" width="16" style="2" customWidth="1"/>
    <col min="4130" max="4130" width="21.42578125" style="2" customWidth="1"/>
    <col min="4131" max="4131" width="17.28515625" style="2" customWidth="1"/>
    <col min="4132" max="4132" width="11.7109375" style="2" customWidth="1"/>
    <col min="4133" max="4133" width="10.5703125" style="2" customWidth="1"/>
    <col min="4134" max="4135" width="8.85546875" style="2"/>
    <col min="4136" max="4136" width="19.85546875" style="2" customWidth="1"/>
    <col min="4137" max="4137" width="15.140625" style="2" customWidth="1"/>
    <col min="4138" max="4138" width="16.85546875" style="2" customWidth="1"/>
    <col min="4139" max="4141" width="8.85546875" style="2"/>
    <col min="4142" max="4142" width="11.140625" style="2" customWidth="1"/>
    <col min="4143" max="4352" width="8.85546875" style="2"/>
    <col min="4353" max="4353" width="8.85546875" style="2" customWidth="1"/>
    <col min="4354" max="4354" width="24.140625" style="2" customWidth="1"/>
    <col min="4355" max="4355" width="19.5703125" style="2" customWidth="1"/>
    <col min="4356" max="4356" width="11" style="2" customWidth="1"/>
    <col min="4357" max="4357" width="10.140625" style="2" customWidth="1"/>
    <col min="4358" max="4359" width="14.28515625" style="2" customWidth="1"/>
    <col min="4360" max="4361" width="13.5703125" style="2" customWidth="1"/>
    <col min="4362" max="4362" width="10.28515625" style="2" customWidth="1"/>
    <col min="4363" max="4363" width="9.42578125" style="2" customWidth="1"/>
    <col min="4364" max="4364" width="12" style="2" customWidth="1"/>
    <col min="4365" max="4365" width="8.85546875" style="2" customWidth="1"/>
    <col min="4366" max="4366" width="10.7109375" style="2" customWidth="1"/>
    <col min="4367" max="4368" width="8.85546875" style="2" customWidth="1"/>
    <col min="4369" max="4369" width="15.140625" style="2" customWidth="1"/>
    <col min="4370" max="4370" width="10.7109375" style="2" customWidth="1"/>
    <col min="4371" max="4371" width="13" style="2" customWidth="1"/>
    <col min="4372" max="4372" width="19.7109375" style="2" customWidth="1"/>
    <col min="4373" max="4373" width="11.140625" style="2" customWidth="1"/>
    <col min="4374" max="4374" width="8.85546875" style="2" customWidth="1"/>
    <col min="4375" max="4375" width="11.85546875" style="2" customWidth="1"/>
    <col min="4376" max="4376" width="8.85546875" style="2" customWidth="1"/>
    <col min="4377" max="4377" width="12.42578125" style="2" customWidth="1"/>
    <col min="4378" max="4379" width="8.85546875" style="2" customWidth="1"/>
    <col min="4380" max="4380" width="16.7109375" style="2" customWidth="1"/>
    <col min="4381" max="4381" width="18" style="2" customWidth="1"/>
    <col min="4382" max="4382" width="17.85546875" style="2" customWidth="1"/>
    <col min="4383" max="4383" width="17.28515625" style="2" customWidth="1"/>
    <col min="4384" max="4384" width="10.42578125" style="2" customWidth="1"/>
    <col min="4385" max="4385" width="16" style="2" customWidth="1"/>
    <col min="4386" max="4386" width="21.42578125" style="2" customWidth="1"/>
    <col min="4387" max="4387" width="17.28515625" style="2" customWidth="1"/>
    <col min="4388" max="4388" width="11.7109375" style="2" customWidth="1"/>
    <col min="4389" max="4389" width="10.5703125" style="2" customWidth="1"/>
    <col min="4390" max="4391" width="8.85546875" style="2"/>
    <col min="4392" max="4392" width="19.85546875" style="2" customWidth="1"/>
    <col min="4393" max="4393" width="15.140625" style="2" customWidth="1"/>
    <col min="4394" max="4394" width="16.85546875" style="2" customWidth="1"/>
    <col min="4395" max="4397" width="8.85546875" style="2"/>
    <col min="4398" max="4398" width="11.140625" style="2" customWidth="1"/>
    <col min="4399" max="4608" width="8.85546875" style="2"/>
    <col min="4609" max="4609" width="8.85546875" style="2" customWidth="1"/>
    <col min="4610" max="4610" width="24.140625" style="2" customWidth="1"/>
    <col min="4611" max="4611" width="19.5703125" style="2" customWidth="1"/>
    <col min="4612" max="4612" width="11" style="2" customWidth="1"/>
    <col min="4613" max="4613" width="10.140625" style="2" customWidth="1"/>
    <col min="4614" max="4615" width="14.28515625" style="2" customWidth="1"/>
    <col min="4616" max="4617" width="13.5703125" style="2" customWidth="1"/>
    <col min="4618" max="4618" width="10.28515625" style="2" customWidth="1"/>
    <col min="4619" max="4619" width="9.42578125" style="2" customWidth="1"/>
    <col min="4620" max="4620" width="12" style="2" customWidth="1"/>
    <col min="4621" max="4621" width="8.85546875" style="2" customWidth="1"/>
    <col min="4622" max="4622" width="10.7109375" style="2" customWidth="1"/>
    <col min="4623" max="4624" width="8.85546875" style="2" customWidth="1"/>
    <col min="4625" max="4625" width="15.140625" style="2" customWidth="1"/>
    <col min="4626" max="4626" width="10.7109375" style="2" customWidth="1"/>
    <col min="4627" max="4627" width="13" style="2" customWidth="1"/>
    <col min="4628" max="4628" width="19.7109375" style="2" customWidth="1"/>
    <col min="4629" max="4629" width="11.140625" style="2" customWidth="1"/>
    <col min="4630" max="4630" width="8.85546875" style="2" customWidth="1"/>
    <col min="4631" max="4631" width="11.85546875" style="2" customWidth="1"/>
    <col min="4632" max="4632" width="8.85546875" style="2" customWidth="1"/>
    <col min="4633" max="4633" width="12.42578125" style="2" customWidth="1"/>
    <col min="4634" max="4635" width="8.85546875" style="2" customWidth="1"/>
    <col min="4636" max="4636" width="16.7109375" style="2" customWidth="1"/>
    <col min="4637" max="4637" width="18" style="2" customWidth="1"/>
    <col min="4638" max="4638" width="17.85546875" style="2" customWidth="1"/>
    <col min="4639" max="4639" width="17.28515625" style="2" customWidth="1"/>
    <col min="4640" max="4640" width="10.42578125" style="2" customWidth="1"/>
    <col min="4641" max="4641" width="16" style="2" customWidth="1"/>
    <col min="4642" max="4642" width="21.42578125" style="2" customWidth="1"/>
    <col min="4643" max="4643" width="17.28515625" style="2" customWidth="1"/>
    <col min="4644" max="4644" width="11.7109375" style="2" customWidth="1"/>
    <col min="4645" max="4645" width="10.5703125" style="2" customWidth="1"/>
    <col min="4646" max="4647" width="8.85546875" style="2"/>
    <col min="4648" max="4648" width="19.85546875" style="2" customWidth="1"/>
    <col min="4649" max="4649" width="15.140625" style="2" customWidth="1"/>
    <col min="4650" max="4650" width="16.85546875" style="2" customWidth="1"/>
    <col min="4651" max="4653" width="8.85546875" style="2"/>
    <col min="4654" max="4654" width="11.140625" style="2" customWidth="1"/>
    <col min="4655" max="4864" width="8.85546875" style="2"/>
    <col min="4865" max="4865" width="8.85546875" style="2" customWidth="1"/>
    <col min="4866" max="4866" width="24.140625" style="2" customWidth="1"/>
    <col min="4867" max="4867" width="19.5703125" style="2" customWidth="1"/>
    <col min="4868" max="4868" width="11" style="2" customWidth="1"/>
    <col min="4869" max="4869" width="10.140625" style="2" customWidth="1"/>
    <col min="4870" max="4871" width="14.28515625" style="2" customWidth="1"/>
    <col min="4872" max="4873" width="13.5703125" style="2" customWidth="1"/>
    <col min="4874" max="4874" width="10.28515625" style="2" customWidth="1"/>
    <col min="4875" max="4875" width="9.42578125" style="2" customWidth="1"/>
    <col min="4876" max="4876" width="12" style="2" customWidth="1"/>
    <col min="4877" max="4877" width="8.85546875" style="2" customWidth="1"/>
    <col min="4878" max="4878" width="10.7109375" style="2" customWidth="1"/>
    <col min="4879" max="4880" width="8.85546875" style="2" customWidth="1"/>
    <col min="4881" max="4881" width="15.140625" style="2" customWidth="1"/>
    <col min="4882" max="4882" width="10.7109375" style="2" customWidth="1"/>
    <col min="4883" max="4883" width="13" style="2" customWidth="1"/>
    <col min="4884" max="4884" width="19.7109375" style="2" customWidth="1"/>
    <col min="4885" max="4885" width="11.140625" style="2" customWidth="1"/>
    <col min="4886" max="4886" width="8.85546875" style="2" customWidth="1"/>
    <col min="4887" max="4887" width="11.85546875" style="2" customWidth="1"/>
    <col min="4888" max="4888" width="8.85546875" style="2" customWidth="1"/>
    <col min="4889" max="4889" width="12.42578125" style="2" customWidth="1"/>
    <col min="4890" max="4891" width="8.85546875" style="2" customWidth="1"/>
    <col min="4892" max="4892" width="16.7109375" style="2" customWidth="1"/>
    <col min="4893" max="4893" width="18" style="2" customWidth="1"/>
    <col min="4894" max="4894" width="17.85546875" style="2" customWidth="1"/>
    <col min="4895" max="4895" width="17.28515625" style="2" customWidth="1"/>
    <col min="4896" max="4896" width="10.42578125" style="2" customWidth="1"/>
    <col min="4897" max="4897" width="16" style="2" customWidth="1"/>
    <col min="4898" max="4898" width="21.42578125" style="2" customWidth="1"/>
    <col min="4899" max="4899" width="17.28515625" style="2" customWidth="1"/>
    <col min="4900" max="4900" width="11.7109375" style="2" customWidth="1"/>
    <col min="4901" max="4901" width="10.5703125" style="2" customWidth="1"/>
    <col min="4902" max="4903" width="8.85546875" style="2"/>
    <col min="4904" max="4904" width="19.85546875" style="2" customWidth="1"/>
    <col min="4905" max="4905" width="15.140625" style="2" customWidth="1"/>
    <col min="4906" max="4906" width="16.85546875" style="2" customWidth="1"/>
    <col min="4907" max="4909" width="8.85546875" style="2"/>
    <col min="4910" max="4910" width="11.140625" style="2" customWidth="1"/>
    <col min="4911" max="5120" width="8.85546875" style="2"/>
    <col min="5121" max="5121" width="8.85546875" style="2" customWidth="1"/>
    <col min="5122" max="5122" width="24.140625" style="2" customWidth="1"/>
    <col min="5123" max="5123" width="19.5703125" style="2" customWidth="1"/>
    <col min="5124" max="5124" width="11" style="2" customWidth="1"/>
    <col min="5125" max="5125" width="10.140625" style="2" customWidth="1"/>
    <col min="5126" max="5127" width="14.28515625" style="2" customWidth="1"/>
    <col min="5128" max="5129" width="13.5703125" style="2" customWidth="1"/>
    <col min="5130" max="5130" width="10.28515625" style="2" customWidth="1"/>
    <col min="5131" max="5131" width="9.42578125" style="2" customWidth="1"/>
    <col min="5132" max="5132" width="12" style="2" customWidth="1"/>
    <col min="5133" max="5133" width="8.85546875" style="2" customWidth="1"/>
    <col min="5134" max="5134" width="10.7109375" style="2" customWidth="1"/>
    <col min="5135" max="5136" width="8.85546875" style="2" customWidth="1"/>
    <col min="5137" max="5137" width="15.140625" style="2" customWidth="1"/>
    <col min="5138" max="5138" width="10.7109375" style="2" customWidth="1"/>
    <col min="5139" max="5139" width="13" style="2" customWidth="1"/>
    <col min="5140" max="5140" width="19.7109375" style="2" customWidth="1"/>
    <col min="5141" max="5141" width="11.140625" style="2" customWidth="1"/>
    <col min="5142" max="5142" width="8.85546875" style="2" customWidth="1"/>
    <col min="5143" max="5143" width="11.85546875" style="2" customWidth="1"/>
    <col min="5144" max="5144" width="8.85546875" style="2" customWidth="1"/>
    <col min="5145" max="5145" width="12.42578125" style="2" customWidth="1"/>
    <col min="5146" max="5147" width="8.85546875" style="2" customWidth="1"/>
    <col min="5148" max="5148" width="16.7109375" style="2" customWidth="1"/>
    <col min="5149" max="5149" width="18" style="2" customWidth="1"/>
    <col min="5150" max="5150" width="17.85546875" style="2" customWidth="1"/>
    <col min="5151" max="5151" width="17.28515625" style="2" customWidth="1"/>
    <col min="5152" max="5152" width="10.42578125" style="2" customWidth="1"/>
    <col min="5153" max="5153" width="16" style="2" customWidth="1"/>
    <col min="5154" max="5154" width="21.42578125" style="2" customWidth="1"/>
    <col min="5155" max="5155" width="17.28515625" style="2" customWidth="1"/>
    <col min="5156" max="5156" width="11.7109375" style="2" customWidth="1"/>
    <col min="5157" max="5157" width="10.5703125" style="2" customWidth="1"/>
    <col min="5158" max="5159" width="8.85546875" style="2"/>
    <col min="5160" max="5160" width="19.85546875" style="2" customWidth="1"/>
    <col min="5161" max="5161" width="15.140625" style="2" customWidth="1"/>
    <col min="5162" max="5162" width="16.85546875" style="2" customWidth="1"/>
    <col min="5163" max="5165" width="8.85546875" style="2"/>
    <col min="5166" max="5166" width="11.140625" style="2" customWidth="1"/>
    <col min="5167" max="5376" width="8.85546875" style="2"/>
    <col min="5377" max="5377" width="8.85546875" style="2" customWidth="1"/>
    <col min="5378" max="5378" width="24.140625" style="2" customWidth="1"/>
    <col min="5379" max="5379" width="19.5703125" style="2" customWidth="1"/>
    <col min="5380" max="5380" width="11" style="2" customWidth="1"/>
    <col min="5381" max="5381" width="10.140625" style="2" customWidth="1"/>
    <col min="5382" max="5383" width="14.28515625" style="2" customWidth="1"/>
    <col min="5384" max="5385" width="13.5703125" style="2" customWidth="1"/>
    <col min="5386" max="5386" width="10.28515625" style="2" customWidth="1"/>
    <col min="5387" max="5387" width="9.42578125" style="2" customWidth="1"/>
    <col min="5388" max="5388" width="12" style="2" customWidth="1"/>
    <col min="5389" max="5389" width="8.85546875" style="2" customWidth="1"/>
    <col min="5390" max="5390" width="10.7109375" style="2" customWidth="1"/>
    <col min="5391" max="5392" width="8.85546875" style="2" customWidth="1"/>
    <col min="5393" max="5393" width="15.140625" style="2" customWidth="1"/>
    <col min="5394" max="5394" width="10.7109375" style="2" customWidth="1"/>
    <col min="5395" max="5395" width="13" style="2" customWidth="1"/>
    <col min="5396" max="5396" width="19.7109375" style="2" customWidth="1"/>
    <col min="5397" max="5397" width="11.140625" style="2" customWidth="1"/>
    <col min="5398" max="5398" width="8.85546875" style="2" customWidth="1"/>
    <col min="5399" max="5399" width="11.85546875" style="2" customWidth="1"/>
    <col min="5400" max="5400" width="8.85546875" style="2" customWidth="1"/>
    <col min="5401" max="5401" width="12.42578125" style="2" customWidth="1"/>
    <col min="5402" max="5403" width="8.85546875" style="2" customWidth="1"/>
    <col min="5404" max="5404" width="16.7109375" style="2" customWidth="1"/>
    <col min="5405" max="5405" width="18" style="2" customWidth="1"/>
    <col min="5406" max="5406" width="17.85546875" style="2" customWidth="1"/>
    <col min="5407" max="5407" width="17.28515625" style="2" customWidth="1"/>
    <col min="5408" max="5408" width="10.42578125" style="2" customWidth="1"/>
    <col min="5409" max="5409" width="16" style="2" customWidth="1"/>
    <col min="5410" max="5410" width="21.42578125" style="2" customWidth="1"/>
    <col min="5411" max="5411" width="17.28515625" style="2" customWidth="1"/>
    <col min="5412" max="5412" width="11.7109375" style="2" customWidth="1"/>
    <col min="5413" max="5413" width="10.5703125" style="2" customWidth="1"/>
    <col min="5414" max="5415" width="8.85546875" style="2"/>
    <col min="5416" max="5416" width="19.85546875" style="2" customWidth="1"/>
    <col min="5417" max="5417" width="15.140625" style="2" customWidth="1"/>
    <col min="5418" max="5418" width="16.85546875" style="2" customWidth="1"/>
    <col min="5419" max="5421" width="8.85546875" style="2"/>
    <col min="5422" max="5422" width="11.140625" style="2" customWidth="1"/>
    <col min="5423" max="5632" width="8.85546875" style="2"/>
    <col min="5633" max="5633" width="8.85546875" style="2" customWidth="1"/>
    <col min="5634" max="5634" width="24.140625" style="2" customWidth="1"/>
    <col min="5635" max="5635" width="19.5703125" style="2" customWidth="1"/>
    <col min="5636" max="5636" width="11" style="2" customWidth="1"/>
    <col min="5637" max="5637" width="10.140625" style="2" customWidth="1"/>
    <col min="5638" max="5639" width="14.28515625" style="2" customWidth="1"/>
    <col min="5640" max="5641" width="13.5703125" style="2" customWidth="1"/>
    <col min="5642" max="5642" width="10.28515625" style="2" customWidth="1"/>
    <col min="5643" max="5643" width="9.42578125" style="2" customWidth="1"/>
    <col min="5644" max="5644" width="12" style="2" customWidth="1"/>
    <col min="5645" max="5645" width="8.85546875" style="2" customWidth="1"/>
    <col min="5646" max="5646" width="10.7109375" style="2" customWidth="1"/>
    <col min="5647" max="5648" width="8.85546875" style="2" customWidth="1"/>
    <col min="5649" max="5649" width="15.140625" style="2" customWidth="1"/>
    <col min="5650" max="5650" width="10.7109375" style="2" customWidth="1"/>
    <col min="5651" max="5651" width="13" style="2" customWidth="1"/>
    <col min="5652" max="5652" width="19.7109375" style="2" customWidth="1"/>
    <col min="5653" max="5653" width="11.140625" style="2" customWidth="1"/>
    <col min="5654" max="5654" width="8.85546875" style="2" customWidth="1"/>
    <col min="5655" max="5655" width="11.85546875" style="2" customWidth="1"/>
    <col min="5656" max="5656" width="8.85546875" style="2" customWidth="1"/>
    <col min="5657" max="5657" width="12.42578125" style="2" customWidth="1"/>
    <col min="5658" max="5659" width="8.85546875" style="2" customWidth="1"/>
    <col min="5660" max="5660" width="16.7109375" style="2" customWidth="1"/>
    <col min="5661" max="5661" width="18" style="2" customWidth="1"/>
    <col min="5662" max="5662" width="17.85546875" style="2" customWidth="1"/>
    <col min="5663" max="5663" width="17.28515625" style="2" customWidth="1"/>
    <col min="5664" max="5664" width="10.42578125" style="2" customWidth="1"/>
    <col min="5665" max="5665" width="16" style="2" customWidth="1"/>
    <col min="5666" max="5666" width="21.42578125" style="2" customWidth="1"/>
    <col min="5667" max="5667" width="17.28515625" style="2" customWidth="1"/>
    <col min="5668" max="5668" width="11.7109375" style="2" customWidth="1"/>
    <col min="5669" max="5669" width="10.5703125" style="2" customWidth="1"/>
    <col min="5670" max="5671" width="8.85546875" style="2"/>
    <col min="5672" max="5672" width="19.85546875" style="2" customWidth="1"/>
    <col min="5673" max="5673" width="15.140625" style="2" customWidth="1"/>
    <col min="5674" max="5674" width="16.85546875" style="2" customWidth="1"/>
    <col min="5675" max="5677" width="8.85546875" style="2"/>
    <col min="5678" max="5678" width="11.140625" style="2" customWidth="1"/>
    <col min="5679" max="5888" width="8.85546875" style="2"/>
    <col min="5889" max="5889" width="8.85546875" style="2" customWidth="1"/>
    <col min="5890" max="5890" width="24.140625" style="2" customWidth="1"/>
    <col min="5891" max="5891" width="19.5703125" style="2" customWidth="1"/>
    <col min="5892" max="5892" width="11" style="2" customWidth="1"/>
    <col min="5893" max="5893" width="10.140625" style="2" customWidth="1"/>
    <col min="5894" max="5895" width="14.28515625" style="2" customWidth="1"/>
    <col min="5896" max="5897" width="13.5703125" style="2" customWidth="1"/>
    <col min="5898" max="5898" width="10.28515625" style="2" customWidth="1"/>
    <col min="5899" max="5899" width="9.42578125" style="2" customWidth="1"/>
    <col min="5900" max="5900" width="12" style="2" customWidth="1"/>
    <col min="5901" max="5901" width="8.85546875" style="2" customWidth="1"/>
    <col min="5902" max="5902" width="10.7109375" style="2" customWidth="1"/>
    <col min="5903" max="5904" width="8.85546875" style="2" customWidth="1"/>
    <col min="5905" max="5905" width="15.140625" style="2" customWidth="1"/>
    <col min="5906" max="5906" width="10.7109375" style="2" customWidth="1"/>
    <col min="5907" max="5907" width="13" style="2" customWidth="1"/>
    <col min="5908" max="5908" width="19.7109375" style="2" customWidth="1"/>
    <col min="5909" max="5909" width="11.140625" style="2" customWidth="1"/>
    <col min="5910" max="5910" width="8.85546875" style="2" customWidth="1"/>
    <col min="5911" max="5911" width="11.85546875" style="2" customWidth="1"/>
    <col min="5912" max="5912" width="8.85546875" style="2" customWidth="1"/>
    <col min="5913" max="5913" width="12.42578125" style="2" customWidth="1"/>
    <col min="5914" max="5915" width="8.85546875" style="2" customWidth="1"/>
    <col min="5916" max="5916" width="16.7109375" style="2" customWidth="1"/>
    <col min="5917" max="5917" width="18" style="2" customWidth="1"/>
    <col min="5918" max="5918" width="17.85546875" style="2" customWidth="1"/>
    <col min="5919" max="5919" width="17.28515625" style="2" customWidth="1"/>
    <col min="5920" max="5920" width="10.42578125" style="2" customWidth="1"/>
    <col min="5921" max="5921" width="16" style="2" customWidth="1"/>
    <col min="5922" max="5922" width="21.42578125" style="2" customWidth="1"/>
    <col min="5923" max="5923" width="17.28515625" style="2" customWidth="1"/>
    <col min="5924" max="5924" width="11.7109375" style="2" customWidth="1"/>
    <col min="5925" max="5925" width="10.5703125" style="2" customWidth="1"/>
    <col min="5926" max="5927" width="8.85546875" style="2"/>
    <col min="5928" max="5928" width="19.85546875" style="2" customWidth="1"/>
    <col min="5929" max="5929" width="15.140625" style="2" customWidth="1"/>
    <col min="5930" max="5930" width="16.85546875" style="2" customWidth="1"/>
    <col min="5931" max="5933" width="8.85546875" style="2"/>
    <col min="5934" max="5934" width="11.140625" style="2" customWidth="1"/>
    <col min="5935" max="6144" width="8.85546875" style="2"/>
    <col min="6145" max="6145" width="8.85546875" style="2" customWidth="1"/>
    <col min="6146" max="6146" width="24.140625" style="2" customWidth="1"/>
    <col min="6147" max="6147" width="19.5703125" style="2" customWidth="1"/>
    <col min="6148" max="6148" width="11" style="2" customWidth="1"/>
    <col min="6149" max="6149" width="10.140625" style="2" customWidth="1"/>
    <col min="6150" max="6151" width="14.28515625" style="2" customWidth="1"/>
    <col min="6152" max="6153" width="13.5703125" style="2" customWidth="1"/>
    <col min="6154" max="6154" width="10.28515625" style="2" customWidth="1"/>
    <col min="6155" max="6155" width="9.42578125" style="2" customWidth="1"/>
    <col min="6156" max="6156" width="12" style="2" customWidth="1"/>
    <col min="6157" max="6157" width="8.85546875" style="2" customWidth="1"/>
    <col min="6158" max="6158" width="10.7109375" style="2" customWidth="1"/>
    <col min="6159" max="6160" width="8.85546875" style="2" customWidth="1"/>
    <col min="6161" max="6161" width="15.140625" style="2" customWidth="1"/>
    <col min="6162" max="6162" width="10.7109375" style="2" customWidth="1"/>
    <col min="6163" max="6163" width="13" style="2" customWidth="1"/>
    <col min="6164" max="6164" width="19.7109375" style="2" customWidth="1"/>
    <col min="6165" max="6165" width="11.140625" style="2" customWidth="1"/>
    <col min="6166" max="6166" width="8.85546875" style="2" customWidth="1"/>
    <col min="6167" max="6167" width="11.85546875" style="2" customWidth="1"/>
    <col min="6168" max="6168" width="8.85546875" style="2" customWidth="1"/>
    <col min="6169" max="6169" width="12.42578125" style="2" customWidth="1"/>
    <col min="6170" max="6171" width="8.85546875" style="2" customWidth="1"/>
    <col min="6172" max="6172" width="16.7109375" style="2" customWidth="1"/>
    <col min="6173" max="6173" width="18" style="2" customWidth="1"/>
    <col min="6174" max="6174" width="17.85546875" style="2" customWidth="1"/>
    <col min="6175" max="6175" width="17.28515625" style="2" customWidth="1"/>
    <col min="6176" max="6176" width="10.42578125" style="2" customWidth="1"/>
    <col min="6177" max="6177" width="16" style="2" customWidth="1"/>
    <col min="6178" max="6178" width="21.42578125" style="2" customWidth="1"/>
    <col min="6179" max="6179" width="17.28515625" style="2" customWidth="1"/>
    <col min="6180" max="6180" width="11.7109375" style="2" customWidth="1"/>
    <col min="6181" max="6181" width="10.5703125" style="2" customWidth="1"/>
    <col min="6182" max="6183" width="8.85546875" style="2"/>
    <col min="6184" max="6184" width="19.85546875" style="2" customWidth="1"/>
    <col min="6185" max="6185" width="15.140625" style="2" customWidth="1"/>
    <col min="6186" max="6186" width="16.85546875" style="2" customWidth="1"/>
    <col min="6187" max="6189" width="8.85546875" style="2"/>
    <col min="6190" max="6190" width="11.140625" style="2" customWidth="1"/>
    <col min="6191" max="6400" width="8.85546875" style="2"/>
    <col min="6401" max="6401" width="8.85546875" style="2" customWidth="1"/>
    <col min="6402" max="6402" width="24.140625" style="2" customWidth="1"/>
    <col min="6403" max="6403" width="19.5703125" style="2" customWidth="1"/>
    <col min="6404" max="6404" width="11" style="2" customWidth="1"/>
    <col min="6405" max="6405" width="10.140625" style="2" customWidth="1"/>
    <col min="6406" max="6407" width="14.28515625" style="2" customWidth="1"/>
    <col min="6408" max="6409" width="13.5703125" style="2" customWidth="1"/>
    <col min="6410" max="6410" width="10.28515625" style="2" customWidth="1"/>
    <col min="6411" max="6411" width="9.42578125" style="2" customWidth="1"/>
    <col min="6412" max="6412" width="12" style="2" customWidth="1"/>
    <col min="6413" max="6413" width="8.85546875" style="2" customWidth="1"/>
    <col min="6414" max="6414" width="10.7109375" style="2" customWidth="1"/>
    <col min="6415" max="6416" width="8.85546875" style="2" customWidth="1"/>
    <col min="6417" max="6417" width="15.140625" style="2" customWidth="1"/>
    <col min="6418" max="6418" width="10.7109375" style="2" customWidth="1"/>
    <col min="6419" max="6419" width="13" style="2" customWidth="1"/>
    <col min="6420" max="6420" width="19.7109375" style="2" customWidth="1"/>
    <col min="6421" max="6421" width="11.140625" style="2" customWidth="1"/>
    <col min="6422" max="6422" width="8.85546875" style="2" customWidth="1"/>
    <col min="6423" max="6423" width="11.85546875" style="2" customWidth="1"/>
    <col min="6424" max="6424" width="8.85546875" style="2" customWidth="1"/>
    <col min="6425" max="6425" width="12.42578125" style="2" customWidth="1"/>
    <col min="6426" max="6427" width="8.85546875" style="2" customWidth="1"/>
    <col min="6428" max="6428" width="16.7109375" style="2" customWidth="1"/>
    <col min="6429" max="6429" width="18" style="2" customWidth="1"/>
    <col min="6430" max="6430" width="17.85546875" style="2" customWidth="1"/>
    <col min="6431" max="6431" width="17.28515625" style="2" customWidth="1"/>
    <col min="6432" max="6432" width="10.42578125" style="2" customWidth="1"/>
    <col min="6433" max="6433" width="16" style="2" customWidth="1"/>
    <col min="6434" max="6434" width="21.42578125" style="2" customWidth="1"/>
    <col min="6435" max="6435" width="17.28515625" style="2" customWidth="1"/>
    <col min="6436" max="6436" width="11.7109375" style="2" customWidth="1"/>
    <col min="6437" max="6437" width="10.5703125" style="2" customWidth="1"/>
    <col min="6438" max="6439" width="8.85546875" style="2"/>
    <col min="6440" max="6440" width="19.85546875" style="2" customWidth="1"/>
    <col min="6441" max="6441" width="15.140625" style="2" customWidth="1"/>
    <col min="6442" max="6442" width="16.85546875" style="2" customWidth="1"/>
    <col min="6443" max="6445" width="8.85546875" style="2"/>
    <col min="6446" max="6446" width="11.140625" style="2" customWidth="1"/>
    <col min="6447" max="6656" width="8.85546875" style="2"/>
    <col min="6657" max="6657" width="8.85546875" style="2" customWidth="1"/>
    <col min="6658" max="6658" width="24.140625" style="2" customWidth="1"/>
    <col min="6659" max="6659" width="19.5703125" style="2" customWidth="1"/>
    <col min="6660" max="6660" width="11" style="2" customWidth="1"/>
    <col min="6661" max="6661" width="10.140625" style="2" customWidth="1"/>
    <col min="6662" max="6663" width="14.28515625" style="2" customWidth="1"/>
    <col min="6664" max="6665" width="13.5703125" style="2" customWidth="1"/>
    <col min="6666" max="6666" width="10.28515625" style="2" customWidth="1"/>
    <col min="6667" max="6667" width="9.42578125" style="2" customWidth="1"/>
    <col min="6668" max="6668" width="12" style="2" customWidth="1"/>
    <col min="6669" max="6669" width="8.85546875" style="2" customWidth="1"/>
    <col min="6670" max="6670" width="10.7109375" style="2" customWidth="1"/>
    <col min="6671" max="6672" width="8.85546875" style="2" customWidth="1"/>
    <col min="6673" max="6673" width="15.140625" style="2" customWidth="1"/>
    <col min="6674" max="6674" width="10.7109375" style="2" customWidth="1"/>
    <col min="6675" max="6675" width="13" style="2" customWidth="1"/>
    <col min="6676" max="6676" width="19.7109375" style="2" customWidth="1"/>
    <col min="6677" max="6677" width="11.140625" style="2" customWidth="1"/>
    <col min="6678" max="6678" width="8.85546875" style="2" customWidth="1"/>
    <col min="6679" max="6679" width="11.85546875" style="2" customWidth="1"/>
    <col min="6680" max="6680" width="8.85546875" style="2" customWidth="1"/>
    <col min="6681" max="6681" width="12.42578125" style="2" customWidth="1"/>
    <col min="6682" max="6683" width="8.85546875" style="2" customWidth="1"/>
    <col min="6684" max="6684" width="16.7109375" style="2" customWidth="1"/>
    <col min="6685" max="6685" width="18" style="2" customWidth="1"/>
    <col min="6686" max="6686" width="17.85546875" style="2" customWidth="1"/>
    <col min="6687" max="6687" width="17.28515625" style="2" customWidth="1"/>
    <col min="6688" max="6688" width="10.42578125" style="2" customWidth="1"/>
    <col min="6689" max="6689" width="16" style="2" customWidth="1"/>
    <col min="6690" max="6690" width="21.42578125" style="2" customWidth="1"/>
    <col min="6691" max="6691" width="17.28515625" style="2" customWidth="1"/>
    <col min="6692" max="6692" width="11.7109375" style="2" customWidth="1"/>
    <col min="6693" max="6693" width="10.5703125" style="2" customWidth="1"/>
    <col min="6694" max="6695" width="8.85546875" style="2"/>
    <col min="6696" max="6696" width="19.85546875" style="2" customWidth="1"/>
    <col min="6697" max="6697" width="15.140625" style="2" customWidth="1"/>
    <col min="6698" max="6698" width="16.85546875" style="2" customWidth="1"/>
    <col min="6699" max="6701" width="8.85546875" style="2"/>
    <col min="6702" max="6702" width="11.140625" style="2" customWidth="1"/>
    <col min="6703" max="6912" width="8.85546875" style="2"/>
    <col min="6913" max="6913" width="8.85546875" style="2" customWidth="1"/>
    <col min="6914" max="6914" width="24.140625" style="2" customWidth="1"/>
    <col min="6915" max="6915" width="19.5703125" style="2" customWidth="1"/>
    <col min="6916" max="6916" width="11" style="2" customWidth="1"/>
    <col min="6917" max="6917" width="10.140625" style="2" customWidth="1"/>
    <col min="6918" max="6919" width="14.28515625" style="2" customWidth="1"/>
    <col min="6920" max="6921" width="13.5703125" style="2" customWidth="1"/>
    <col min="6922" max="6922" width="10.28515625" style="2" customWidth="1"/>
    <col min="6923" max="6923" width="9.42578125" style="2" customWidth="1"/>
    <col min="6924" max="6924" width="12" style="2" customWidth="1"/>
    <col min="6925" max="6925" width="8.85546875" style="2" customWidth="1"/>
    <col min="6926" max="6926" width="10.7109375" style="2" customWidth="1"/>
    <col min="6927" max="6928" width="8.85546875" style="2" customWidth="1"/>
    <col min="6929" max="6929" width="15.140625" style="2" customWidth="1"/>
    <col min="6930" max="6930" width="10.7109375" style="2" customWidth="1"/>
    <col min="6931" max="6931" width="13" style="2" customWidth="1"/>
    <col min="6932" max="6932" width="19.7109375" style="2" customWidth="1"/>
    <col min="6933" max="6933" width="11.140625" style="2" customWidth="1"/>
    <col min="6934" max="6934" width="8.85546875" style="2" customWidth="1"/>
    <col min="6935" max="6935" width="11.85546875" style="2" customWidth="1"/>
    <col min="6936" max="6936" width="8.85546875" style="2" customWidth="1"/>
    <col min="6937" max="6937" width="12.42578125" style="2" customWidth="1"/>
    <col min="6938" max="6939" width="8.85546875" style="2" customWidth="1"/>
    <col min="6940" max="6940" width="16.7109375" style="2" customWidth="1"/>
    <col min="6941" max="6941" width="18" style="2" customWidth="1"/>
    <col min="6942" max="6942" width="17.85546875" style="2" customWidth="1"/>
    <col min="6943" max="6943" width="17.28515625" style="2" customWidth="1"/>
    <col min="6944" max="6944" width="10.42578125" style="2" customWidth="1"/>
    <col min="6945" max="6945" width="16" style="2" customWidth="1"/>
    <col min="6946" max="6946" width="21.42578125" style="2" customWidth="1"/>
    <col min="6947" max="6947" width="17.28515625" style="2" customWidth="1"/>
    <col min="6948" max="6948" width="11.7109375" style="2" customWidth="1"/>
    <col min="6949" max="6949" width="10.5703125" style="2" customWidth="1"/>
    <col min="6950" max="6951" width="8.85546875" style="2"/>
    <col min="6952" max="6952" width="19.85546875" style="2" customWidth="1"/>
    <col min="6953" max="6953" width="15.140625" style="2" customWidth="1"/>
    <col min="6954" max="6954" width="16.85546875" style="2" customWidth="1"/>
    <col min="6955" max="6957" width="8.85546875" style="2"/>
    <col min="6958" max="6958" width="11.140625" style="2" customWidth="1"/>
    <col min="6959" max="7168" width="8.85546875" style="2"/>
    <col min="7169" max="7169" width="8.85546875" style="2" customWidth="1"/>
    <col min="7170" max="7170" width="24.140625" style="2" customWidth="1"/>
    <col min="7171" max="7171" width="19.5703125" style="2" customWidth="1"/>
    <col min="7172" max="7172" width="11" style="2" customWidth="1"/>
    <col min="7173" max="7173" width="10.140625" style="2" customWidth="1"/>
    <col min="7174" max="7175" width="14.28515625" style="2" customWidth="1"/>
    <col min="7176" max="7177" width="13.5703125" style="2" customWidth="1"/>
    <col min="7178" max="7178" width="10.28515625" style="2" customWidth="1"/>
    <col min="7179" max="7179" width="9.42578125" style="2" customWidth="1"/>
    <col min="7180" max="7180" width="12" style="2" customWidth="1"/>
    <col min="7181" max="7181" width="8.85546875" style="2" customWidth="1"/>
    <col min="7182" max="7182" width="10.7109375" style="2" customWidth="1"/>
    <col min="7183" max="7184" width="8.85546875" style="2" customWidth="1"/>
    <col min="7185" max="7185" width="15.140625" style="2" customWidth="1"/>
    <col min="7186" max="7186" width="10.7109375" style="2" customWidth="1"/>
    <col min="7187" max="7187" width="13" style="2" customWidth="1"/>
    <col min="7188" max="7188" width="19.7109375" style="2" customWidth="1"/>
    <col min="7189" max="7189" width="11.140625" style="2" customWidth="1"/>
    <col min="7190" max="7190" width="8.85546875" style="2" customWidth="1"/>
    <col min="7191" max="7191" width="11.85546875" style="2" customWidth="1"/>
    <col min="7192" max="7192" width="8.85546875" style="2" customWidth="1"/>
    <col min="7193" max="7193" width="12.42578125" style="2" customWidth="1"/>
    <col min="7194" max="7195" width="8.85546875" style="2" customWidth="1"/>
    <col min="7196" max="7196" width="16.7109375" style="2" customWidth="1"/>
    <col min="7197" max="7197" width="18" style="2" customWidth="1"/>
    <col min="7198" max="7198" width="17.85546875" style="2" customWidth="1"/>
    <col min="7199" max="7199" width="17.28515625" style="2" customWidth="1"/>
    <col min="7200" max="7200" width="10.42578125" style="2" customWidth="1"/>
    <col min="7201" max="7201" width="16" style="2" customWidth="1"/>
    <col min="7202" max="7202" width="21.42578125" style="2" customWidth="1"/>
    <col min="7203" max="7203" width="17.28515625" style="2" customWidth="1"/>
    <col min="7204" max="7204" width="11.7109375" style="2" customWidth="1"/>
    <col min="7205" max="7205" width="10.5703125" style="2" customWidth="1"/>
    <col min="7206" max="7207" width="8.85546875" style="2"/>
    <col min="7208" max="7208" width="19.85546875" style="2" customWidth="1"/>
    <col min="7209" max="7209" width="15.140625" style="2" customWidth="1"/>
    <col min="7210" max="7210" width="16.85546875" style="2" customWidth="1"/>
    <col min="7211" max="7213" width="8.85546875" style="2"/>
    <col min="7214" max="7214" width="11.140625" style="2" customWidth="1"/>
    <col min="7215" max="7424" width="8.85546875" style="2"/>
    <col min="7425" max="7425" width="8.85546875" style="2" customWidth="1"/>
    <col min="7426" max="7426" width="24.140625" style="2" customWidth="1"/>
    <col min="7427" max="7427" width="19.5703125" style="2" customWidth="1"/>
    <col min="7428" max="7428" width="11" style="2" customWidth="1"/>
    <col min="7429" max="7429" width="10.140625" style="2" customWidth="1"/>
    <col min="7430" max="7431" width="14.28515625" style="2" customWidth="1"/>
    <col min="7432" max="7433" width="13.5703125" style="2" customWidth="1"/>
    <col min="7434" max="7434" width="10.28515625" style="2" customWidth="1"/>
    <col min="7435" max="7435" width="9.42578125" style="2" customWidth="1"/>
    <col min="7436" max="7436" width="12" style="2" customWidth="1"/>
    <col min="7437" max="7437" width="8.85546875" style="2" customWidth="1"/>
    <col min="7438" max="7438" width="10.7109375" style="2" customWidth="1"/>
    <col min="7439" max="7440" width="8.85546875" style="2" customWidth="1"/>
    <col min="7441" max="7441" width="15.140625" style="2" customWidth="1"/>
    <col min="7442" max="7442" width="10.7109375" style="2" customWidth="1"/>
    <col min="7443" max="7443" width="13" style="2" customWidth="1"/>
    <col min="7444" max="7444" width="19.7109375" style="2" customWidth="1"/>
    <col min="7445" max="7445" width="11.140625" style="2" customWidth="1"/>
    <col min="7446" max="7446" width="8.85546875" style="2" customWidth="1"/>
    <col min="7447" max="7447" width="11.85546875" style="2" customWidth="1"/>
    <col min="7448" max="7448" width="8.85546875" style="2" customWidth="1"/>
    <col min="7449" max="7449" width="12.42578125" style="2" customWidth="1"/>
    <col min="7450" max="7451" width="8.85546875" style="2" customWidth="1"/>
    <col min="7452" max="7452" width="16.7109375" style="2" customWidth="1"/>
    <col min="7453" max="7453" width="18" style="2" customWidth="1"/>
    <col min="7454" max="7454" width="17.85546875" style="2" customWidth="1"/>
    <col min="7455" max="7455" width="17.28515625" style="2" customWidth="1"/>
    <col min="7456" max="7456" width="10.42578125" style="2" customWidth="1"/>
    <col min="7457" max="7457" width="16" style="2" customWidth="1"/>
    <col min="7458" max="7458" width="21.42578125" style="2" customWidth="1"/>
    <col min="7459" max="7459" width="17.28515625" style="2" customWidth="1"/>
    <col min="7460" max="7460" width="11.7109375" style="2" customWidth="1"/>
    <col min="7461" max="7461" width="10.5703125" style="2" customWidth="1"/>
    <col min="7462" max="7463" width="8.85546875" style="2"/>
    <col min="7464" max="7464" width="19.85546875" style="2" customWidth="1"/>
    <col min="7465" max="7465" width="15.140625" style="2" customWidth="1"/>
    <col min="7466" max="7466" width="16.85546875" style="2" customWidth="1"/>
    <col min="7467" max="7469" width="8.85546875" style="2"/>
    <col min="7470" max="7470" width="11.140625" style="2" customWidth="1"/>
    <col min="7471" max="7680" width="8.85546875" style="2"/>
    <col min="7681" max="7681" width="8.85546875" style="2" customWidth="1"/>
    <col min="7682" max="7682" width="24.140625" style="2" customWidth="1"/>
    <col min="7683" max="7683" width="19.5703125" style="2" customWidth="1"/>
    <col min="7684" max="7684" width="11" style="2" customWidth="1"/>
    <col min="7685" max="7685" width="10.140625" style="2" customWidth="1"/>
    <col min="7686" max="7687" width="14.28515625" style="2" customWidth="1"/>
    <col min="7688" max="7689" width="13.5703125" style="2" customWidth="1"/>
    <col min="7690" max="7690" width="10.28515625" style="2" customWidth="1"/>
    <col min="7691" max="7691" width="9.42578125" style="2" customWidth="1"/>
    <col min="7692" max="7692" width="12" style="2" customWidth="1"/>
    <col min="7693" max="7693" width="8.85546875" style="2" customWidth="1"/>
    <col min="7694" max="7694" width="10.7109375" style="2" customWidth="1"/>
    <col min="7695" max="7696" width="8.85546875" style="2" customWidth="1"/>
    <col min="7697" max="7697" width="15.140625" style="2" customWidth="1"/>
    <col min="7698" max="7698" width="10.7109375" style="2" customWidth="1"/>
    <col min="7699" max="7699" width="13" style="2" customWidth="1"/>
    <col min="7700" max="7700" width="19.7109375" style="2" customWidth="1"/>
    <col min="7701" max="7701" width="11.140625" style="2" customWidth="1"/>
    <col min="7702" max="7702" width="8.85546875" style="2" customWidth="1"/>
    <col min="7703" max="7703" width="11.85546875" style="2" customWidth="1"/>
    <col min="7704" max="7704" width="8.85546875" style="2" customWidth="1"/>
    <col min="7705" max="7705" width="12.42578125" style="2" customWidth="1"/>
    <col min="7706" max="7707" width="8.85546875" style="2" customWidth="1"/>
    <col min="7708" max="7708" width="16.7109375" style="2" customWidth="1"/>
    <col min="7709" max="7709" width="18" style="2" customWidth="1"/>
    <col min="7710" max="7710" width="17.85546875" style="2" customWidth="1"/>
    <col min="7711" max="7711" width="17.28515625" style="2" customWidth="1"/>
    <col min="7712" max="7712" width="10.42578125" style="2" customWidth="1"/>
    <col min="7713" max="7713" width="16" style="2" customWidth="1"/>
    <col min="7714" max="7714" width="21.42578125" style="2" customWidth="1"/>
    <col min="7715" max="7715" width="17.28515625" style="2" customWidth="1"/>
    <col min="7716" max="7716" width="11.7109375" style="2" customWidth="1"/>
    <col min="7717" max="7717" width="10.5703125" style="2" customWidth="1"/>
    <col min="7718" max="7719" width="8.85546875" style="2"/>
    <col min="7720" max="7720" width="19.85546875" style="2" customWidth="1"/>
    <col min="7721" max="7721" width="15.140625" style="2" customWidth="1"/>
    <col min="7722" max="7722" width="16.85546875" style="2" customWidth="1"/>
    <col min="7723" max="7725" width="8.85546875" style="2"/>
    <col min="7726" max="7726" width="11.140625" style="2" customWidth="1"/>
    <col min="7727" max="7936" width="8.85546875" style="2"/>
    <col min="7937" max="7937" width="8.85546875" style="2" customWidth="1"/>
    <col min="7938" max="7938" width="24.140625" style="2" customWidth="1"/>
    <col min="7939" max="7939" width="19.5703125" style="2" customWidth="1"/>
    <col min="7940" max="7940" width="11" style="2" customWidth="1"/>
    <col min="7941" max="7941" width="10.140625" style="2" customWidth="1"/>
    <col min="7942" max="7943" width="14.28515625" style="2" customWidth="1"/>
    <col min="7944" max="7945" width="13.5703125" style="2" customWidth="1"/>
    <col min="7946" max="7946" width="10.28515625" style="2" customWidth="1"/>
    <col min="7947" max="7947" width="9.42578125" style="2" customWidth="1"/>
    <col min="7948" max="7948" width="12" style="2" customWidth="1"/>
    <col min="7949" max="7949" width="8.85546875" style="2" customWidth="1"/>
    <col min="7950" max="7950" width="10.7109375" style="2" customWidth="1"/>
    <col min="7951" max="7952" width="8.85546875" style="2" customWidth="1"/>
    <col min="7953" max="7953" width="15.140625" style="2" customWidth="1"/>
    <col min="7954" max="7954" width="10.7109375" style="2" customWidth="1"/>
    <col min="7955" max="7955" width="13" style="2" customWidth="1"/>
    <col min="7956" max="7956" width="19.7109375" style="2" customWidth="1"/>
    <col min="7957" max="7957" width="11.140625" style="2" customWidth="1"/>
    <col min="7958" max="7958" width="8.85546875" style="2" customWidth="1"/>
    <col min="7959" max="7959" width="11.85546875" style="2" customWidth="1"/>
    <col min="7960" max="7960" width="8.85546875" style="2" customWidth="1"/>
    <col min="7961" max="7961" width="12.42578125" style="2" customWidth="1"/>
    <col min="7962" max="7963" width="8.85546875" style="2" customWidth="1"/>
    <col min="7964" max="7964" width="16.7109375" style="2" customWidth="1"/>
    <col min="7965" max="7965" width="18" style="2" customWidth="1"/>
    <col min="7966" max="7966" width="17.85546875" style="2" customWidth="1"/>
    <col min="7967" max="7967" width="17.28515625" style="2" customWidth="1"/>
    <col min="7968" max="7968" width="10.42578125" style="2" customWidth="1"/>
    <col min="7969" max="7969" width="16" style="2" customWidth="1"/>
    <col min="7970" max="7970" width="21.42578125" style="2" customWidth="1"/>
    <col min="7971" max="7971" width="17.28515625" style="2" customWidth="1"/>
    <col min="7972" max="7972" width="11.7109375" style="2" customWidth="1"/>
    <col min="7973" max="7973" width="10.5703125" style="2" customWidth="1"/>
    <col min="7974" max="7975" width="8.85546875" style="2"/>
    <col min="7976" max="7976" width="19.85546875" style="2" customWidth="1"/>
    <col min="7977" max="7977" width="15.140625" style="2" customWidth="1"/>
    <col min="7978" max="7978" width="16.85546875" style="2" customWidth="1"/>
    <col min="7979" max="7981" width="8.85546875" style="2"/>
    <col min="7982" max="7982" width="11.140625" style="2" customWidth="1"/>
    <col min="7983" max="8192" width="8.85546875" style="2"/>
    <col min="8193" max="8193" width="8.85546875" style="2" customWidth="1"/>
    <col min="8194" max="8194" width="24.140625" style="2" customWidth="1"/>
    <col min="8195" max="8195" width="19.5703125" style="2" customWidth="1"/>
    <col min="8196" max="8196" width="11" style="2" customWidth="1"/>
    <col min="8197" max="8197" width="10.140625" style="2" customWidth="1"/>
    <col min="8198" max="8199" width="14.28515625" style="2" customWidth="1"/>
    <col min="8200" max="8201" width="13.5703125" style="2" customWidth="1"/>
    <col min="8202" max="8202" width="10.28515625" style="2" customWidth="1"/>
    <col min="8203" max="8203" width="9.42578125" style="2" customWidth="1"/>
    <col min="8204" max="8204" width="12" style="2" customWidth="1"/>
    <col min="8205" max="8205" width="8.85546875" style="2" customWidth="1"/>
    <col min="8206" max="8206" width="10.7109375" style="2" customWidth="1"/>
    <col min="8207" max="8208" width="8.85546875" style="2" customWidth="1"/>
    <col min="8209" max="8209" width="15.140625" style="2" customWidth="1"/>
    <col min="8210" max="8210" width="10.7109375" style="2" customWidth="1"/>
    <col min="8211" max="8211" width="13" style="2" customWidth="1"/>
    <col min="8212" max="8212" width="19.7109375" style="2" customWidth="1"/>
    <col min="8213" max="8213" width="11.140625" style="2" customWidth="1"/>
    <col min="8214" max="8214" width="8.85546875" style="2" customWidth="1"/>
    <col min="8215" max="8215" width="11.85546875" style="2" customWidth="1"/>
    <col min="8216" max="8216" width="8.85546875" style="2" customWidth="1"/>
    <col min="8217" max="8217" width="12.42578125" style="2" customWidth="1"/>
    <col min="8218" max="8219" width="8.85546875" style="2" customWidth="1"/>
    <col min="8220" max="8220" width="16.7109375" style="2" customWidth="1"/>
    <col min="8221" max="8221" width="18" style="2" customWidth="1"/>
    <col min="8222" max="8222" width="17.85546875" style="2" customWidth="1"/>
    <col min="8223" max="8223" width="17.28515625" style="2" customWidth="1"/>
    <col min="8224" max="8224" width="10.42578125" style="2" customWidth="1"/>
    <col min="8225" max="8225" width="16" style="2" customWidth="1"/>
    <col min="8226" max="8226" width="21.42578125" style="2" customWidth="1"/>
    <col min="8227" max="8227" width="17.28515625" style="2" customWidth="1"/>
    <col min="8228" max="8228" width="11.7109375" style="2" customWidth="1"/>
    <col min="8229" max="8229" width="10.5703125" style="2" customWidth="1"/>
    <col min="8230" max="8231" width="8.85546875" style="2"/>
    <col min="8232" max="8232" width="19.85546875" style="2" customWidth="1"/>
    <col min="8233" max="8233" width="15.140625" style="2" customWidth="1"/>
    <col min="8234" max="8234" width="16.85546875" style="2" customWidth="1"/>
    <col min="8235" max="8237" width="8.85546875" style="2"/>
    <col min="8238" max="8238" width="11.140625" style="2" customWidth="1"/>
    <col min="8239" max="8448" width="8.85546875" style="2"/>
    <col min="8449" max="8449" width="8.85546875" style="2" customWidth="1"/>
    <col min="8450" max="8450" width="24.140625" style="2" customWidth="1"/>
    <col min="8451" max="8451" width="19.5703125" style="2" customWidth="1"/>
    <col min="8452" max="8452" width="11" style="2" customWidth="1"/>
    <col min="8453" max="8453" width="10.140625" style="2" customWidth="1"/>
    <col min="8454" max="8455" width="14.28515625" style="2" customWidth="1"/>
    <col min="8456" max="8457" width="13.5703125" style="2" customWidth="1"/>
    <col min="8458" max="8458" width="10.28515625" style="2" customWidth="1"/>
    <col min="8459" max="8459" width="9.42578125" style="2" customWidth="1"/>
    <col min="8460" max="8460" width="12" style="2" customWidth="1"/>
    <col min="8461" max="8461" width="8.85546875" style="2" customWidth="1"/>
    <col min="8462" max="8462" width="10.7109375" style="2" customWidth="1"/>
    <col min="8463" max="8464" width="8.85546875" style="2" customWidth="1"/>
    <col min="8465" max="8465" width="15.140625" style="2" customWidth="1"/>
    <col min="8466" max="8466" width="10.7109375" style="2" customWidth="1"/>
    <col min="8467" max="8467" width="13" style="2" customWidth="1"/>
    <col min="8468" max="8468" width="19.7109375" style="2" customWidth="1"/>
    <col min="8469" max="8469" width="11.140625" style="2" customWidth="1"/>
    <col min="8470" max="8470" width="8.85546875" style="2" customWidth="1"/>
    <col min="8471" max="8471" width="11.85546875" style="2" customWidth="1"/>
    <col min="8472" max="8472" width="8.85546875" style="2" customWidth="1"/>
    <col min="8473" max="8473" width="12.42578125" style="2" customWidth="1"/>
    <col min="8474" max="8475" width="8.85546875" style="2" customWidth="1"/>
    <col min="8476" max="8476" width="16.7109375" style="2" customWidth="1"/>
    <col min="8477" max="8477" width="18" style="2" customWidth="1"/>
    <col min="8478" max="8478" width="17.85546875" style="2" customWidth="1"/>
    <col min="8479" max="8479" width="17.28515625" style="2" customWidth="1"/>
    <col min="8480" max="8480" width="10.42578125" style="2" customWidth="1"/>
    <col min="8481" max="8481" width="16" style="2" customWidth="1"/>
    <col min="8482" max="8482" width="21.42578125" style="2" customWidth="1"/>
    <col min="8483" max="8483" width="17.28515625" style="2" customWidth="1"/>
    <col min="8484" max="8484" width="11.7109375" style="2" customWidth="1"/>
    <col min="8485" max="8485" width="10.5703125" style="2" customWidth="1"/>
    <col min="8486" max="8487" width="8.85546875" style="2"/>
    <col min="8488" max="8488" width="19.85546875" style="2" customWidth="1"/>
    <col min="8489" max="8489" width="15.140625" style="2" customWidth="1"/>
    <col min="8490" max="8490" width="16.85546875" style="2" customWidth="1"/>
    <col min="8491" max="8493" width="8.85546875" style="2"/>
    <col min="8494" max="8494" width="11.140625" style="2" customWidth="1"/>
    <col min="8495" max="8704" width="8.85546875" style="2"/>
    <col min="8705" max="8705" width="8.85546875" style="2" customWidth="1"/>
    <col min="8706" max="8706" width="24.140625" style="2" customWidth="1"/>
    <col min="8707" max="8707" width="19.5703125" style="2" customWidth="1"/>
    <col min="8708" max="8708" width="11" style="2" customWidth="1"/>
    <col min="8709" max="8709" width="10.140625" style="2" customWidth="1"/>
    <col min="8710" max="8711" width="14.28515625" style="2" customWidth="1"/>
    <col min="8712" max="8713" width="13.5703125" style="2" customWidth="1"/>
    <col min="8714" max="8714" width="10.28515625" style="2" customWidth="1"/>
    <col min="8715" max="8715" width="9.42578125" style="2" customWidth="1"/>
    <col min="8716" max="8716" width="12" style="2" customWidth="1"/>
    <col min="8717" max="8717" width="8.85546875" style="2" customWidth="1"/>
    <col min="8718" max="8718" width="10.7109375" style="2" customWidth="1"/>
    <col min="8719" max="8720" width="8.85546875" style="2" customWidth="1"/>
    <col min="8721" max="8721" width="15.140625" style="2" customWidth="1"/>
    <col min="8722" max="8722" width="10.7109375" style="2" customWidth="1"/>
    <col min="8723" max="8723" width="13" style="2" customWidth="1"/>
    <col min="8724" max="8724" width="19.7109375" style="2" customWidth="1"/>
    <col min="8725" max="8725" width="11.140625" style="2" customWidth="1"/>
    <col min="8726" max="8726" width="8.85546875" style="2" customWidth="1"/>
    <col min="8727" max="8727" width="11.85546875" style="2" customWidth="1"/>
    <col min="8728" max="8728" width="8.85546875" style="2" customWidth="1"/>
    <col min="8729" max="8729" width="12.42578125" style="2" customWidth="1"/>
    <col min="8730" max="8731" width="8.85546875" style="2" customWidth="1"/>
    <col min="8732" max="8732" width="16.7109375" style="2" customWidth="1"/>
    <col min="8733" max="8733" width="18" style="2" customWidth="1"/>
    <col min="8734" max="8734" width="17.85546875" style="2" customWidth="1"/>
    <col min="8735" max="8735" width="17.28515625" style="2" customWidth="1"/>
    <col min="8736" max="8736" width="10.42578125" style="2" customWidth="1"/>
    <col min="8737" max="8737" width="16" style="2" customWidth="1"/>
    <col min="8738" max="8738" width="21.42578125" style="2" customWidth="1"/>
    <col min="8739" max="8739" width="17.28515625" style="2" customWidth="1"/>
    <col min="8740" max="8740" width="11.7109375" style="2" customWidth="1"/>
    <col min="8741" max="8741" width="10.5703125" style="2" customWidth="1"/>
    <col min="8742" max="8743" width="8.85546875" style="2"/>
    <col min="8744" max="8744" width="19.85546875" style="2" customWidth="1"/>
    <col min="8745" max="8745" width="15.140625" style="2" customWidth="1"/>
    <col min="8746" max="8746" width="16.85546875" style="2" customWidth="1"/>
    <col min="8747" max="8749" width="8.85546875" style="2"/>
    <col min="8750" max="8750" width="11.140625" style="2" customWidth="1"/>
    <col min="8751" max="8960" width="8.85546875" style="2"/>
    <col min="8961" max="8961" width="8.85546875" style="2" customWidth="1"/>
    <col min="8962" max="8962" width="24.140625" style="2" customWidth="1"/>
    <col min="8963" max="8963" width="19.5703125" style="2" customWidth="1"/>
    <col min="8964" max="8964" width="11" style="2" customWidth="1"/>
    <col min="8965" max="8965" width="10.140625" style="2" customWidth="1"/>
    <col min="8966" max="8967" width="14.28515625" style="2" customWidth="1"/>
    <col min="8968" max="8969" width="13.5703125" style="2" customWidth="1"/>
    <col min="8970" max="8970" width="10.28515625" style="2" customWidth="1"/>
    <col min="8971" max="8971" width="9.42578125" style="2" customWidth="1"/>
    <col min="8972" max="8972" width="12" style="2" customWidth="1"/>
    <col min="8973" max="8973" width="8.85546875" style="2" customWidth="1"/>
    <col min="8974" max="8974" width="10.7109375" style="2" customWidth="1"/>
    <col min="8975" max="8976" width="8.85546875" style="2" customWidth="1"/>
    <col min="8977" max="8977" width="15.140625" style="2" customWidth="1"/>
    <col min="8978" max="8978" width="10.7109375" style="2" customWidth="1"/>
    <col min="8979" max="8979" width="13" style="2" customWidth="1"/>
    <col min="8980" max="8980" width="19.7109375" style="2" customWidth="1"/>
    <col min="8981" max="8981" width="11.140625" style="2" customWidth="1"/>
    <col min="8982" max="8982" width="8.85546875" style="2" customWidth="1"/>
    <col min="8983" max="8983" width="11.85546875" style="2" customWidth="1"/>
    <col min="8984" max="8984" width="8.85546875" style="2" customWidth="1"/>
    <col min="8985" max="8985" width="12.42578125" style="2" customWidth="1"/>
    <col min="8986" max="8987" width="8.85546875" style="2" customWidth="1"/>
    <col min="8988" max="8988" width="16.7109375" style="2" customWidth="1"/>
    <col min="8989" max="8989" width="18" style="2" customWidth="1"/>
    <col min="8990" max="8990" width="17.85546875" style="2" customWidth="1"/>
    <col min="8991" max="8991" width="17.28515625" style="2" customWidth="1"/>
    <col min="8992" max="8992" width="10.42578125" style="2" customWidth="1"/>
    <col min="8993" max="8993" width="16" style="2" customWidth="1"/>
    <col min="8994" max="8994" width="21.42578125" style="2" customWidth="1"/>
    <col min="8995" max="8995" width="17.28515625" style="2" customWidth="1"/>
    <col min="8996" max="8996" width="11.7109375" style="2" customWidth="1"/>
    <col min="8997" max="8997" width="10.5703125" style="2" customWidth="1"/>
    <col min="8998" max="8999" width="8.85546875" style="2"/>
    <col min="9000" max="9000" width="19.85546875" style="2" customWidth="1"/>
    <col min="9001" max="9001" width="15.140625" style="2" customWidth="1"/>
    <col min="9002" max="9002" width="16.85546875" style="2" customWidth="1"/>
    <col min="9003" max="9005" width="8.85546875" style="2"/>
    <col min="9006" max="9006" width="11.140625" style="2" customWidth="1"/>
    <col min="9007" max="9216" width="8.85546875" style="2"/>
    <col min="9217" max="9217" width="8.85546875" style="2" customWidth="1"/>
    <col min="9218" max="9218" width="24.140625" style="2" customWidth="1"/>
    <col min="9219" max="9219" width="19.5703125" style="2" customWidth="1"/>
    <col min="9220" max="9220" width="11" style="2" customWidth="1"/>
    <col min="9221" max="9221" width="10.140625" style="2" customWidth="1"/>
    <col min="9222" max="9223" width="14.28515625" style="2" customWidth="1"/>
    <col min="9224" max="9225" width="13.5703125" style="2" customWidth="1"/>
    <col min="9226" max="9226" width="10.28515625" style="2" customWidth="1"/>
    <col min="9227" max="9227" width="9.42578125" style="2" customWidth="1"/>
    <col min="9228" max="9228" width="12" style="2" customWidth="1"/>
    <col min="9229" max="9229" width="8.85546875" style="2" customWidth="1"/>
    <col min="9230" max="9230" width="10.7109375" style="2" customWidth="1"/>
    <col min="9231" max="9232" width="8.85546875" style="2" customWidth="1"/>
    <col min="9233" max="9233" width="15.140625" style="2" customWidth="1"/>
    <col min="9234" max="9234" width="10.7109375" style="2" customWidth="1"/>
    <col min="9235" max="9235" width="13" style="2" customWidth="1"/>
    <col min="9236" max="9236" width="19.7109375" style="2" customWidth="1"/>
    <col min="9237" max="9237" width="11.140625" style="2" customWidth="1"/>
    <col min="9238" max="9238" width="8.85546875" style="2" customWidth="1"/>
    <col min="9239" max="9239" width="11.85546875" style="2" customWidth="1"/>
    <col min="9240" max="9240" width="8.85546875" style="2" customWidth="1"/>
    <col min="9241" max="9241" width="12.42578125" style="2" customWidth="1"/>
    <col min="9242" max="9243" width="8.85546875" style="2" customWidth="1"/>
    <col min="9244" max="9244" width="16.7109375" style="2" customWidth="1"/>
    <col min="9245" max="9245" width="18" style="2" customWidth="1"/>
    <col min="9246" max="9246" width="17.85546875" style="2" customWidth="1"/>
    <col min="9247" max="9247" width="17.28515625" style="2" customWidth="1"/>
    <col min="9248" max="9248" width="10.42578125" style="2" customWidth="1"/>
    <col min="9249" max="9249" width="16" style="2" customWidth="1"/>
    <col min="9250" max="9250" width="21.42578125" style="2" customWidth="1"/>
    <col min="9251" max="9251" width="17.28515625" style="2" customWidth="1"/>
    <col min="9252" max="9252" width="11.7109375" style="2" customWidth="1"/>
    <col min="9253" max="9253" width="10.5703125" style="2" customWidth="1"/>
    <col min="9254" max="9255" width="8.85546875" style="2"/>
    <col min="9256" max="9256" width="19.85546875" style="2" customWidth="1"/>
    <col min="9257" max="9257" width="15.140625" style="2" customWidth="1"/>
    <col min="9258" max="9258" width="16.85546875" style="2" customWidth="1"/>
    <col min="9259" max="9261" width="8.85546875" style="2"/>
    <col min="9262" max="9262" width="11.140625" style="2" customWidth="1"/>
    <col min="9263" max="9472" width="8.85546875" style="2"/>
    <col min="9473" max="9473" width="8.85546875" style="2" customWidth="1"/>
    <col min="9474" max="9474" width="24.140625" style="2" customWidth="1"/>
    <col min="9475" max="9475" width="19.5703125" style="2" customWidth="1"/>
    <col min="9476" max="9476" width="11" style="2" customWidth="1"/>
    <col min="9477" max="9477" width="10.140625" style="2" customWidth="1"/>
    <col min="9478" max="9479" width="14.28515625" style="2" customWidth="1"/>
    <col min="9480" max="9481" width="13.5703125" style="2" customWidth="1"/>
    <col min="9482" max="9482" width="10.28515625" style="2" customWidth="1"/>
    <col min="9483" max="9483" width="9.42578125" style="2" customWidth="1"/>
    <col min="9484" max="9484" width="12" style="2" customWidth="1"/>
    <col min="9485" max="9485" width="8.85546875" style="2" customWidth="1"/>
    <col min="9486" max="9486" width="10.7109375" style="2" customWidth="1"/>
    <col min="9487" max="9488" width="8.85546875" style="2" customWidth="1"/>
    <col min="9489" max="9489" width="15.140625" style="2" customWidth="1"/>
    <col min="9490" max="9490" width="10.7109375" style="2" customWidth="1"/>
    <col min="9491" max="9491" width="13" style="2" customWidth="1"/>
    <col min="9492" max="9492" width="19.7109375" style="2" customWidth="1"/>
    <col min="9493" max="9493" width="11.140625" style="2" customWidth="1"/>
    <col min="9494" max="9494" width="8.85546875" style="2" customWidth="1"/>
    <col min="9495" max="9495" width="11.85546875" style="2" customWidth="1"/>
    <col min="9496" max="9496" width="8.85546875" style="2" customWidth="1"/>
    <col min="9497" max="9497" width="12.42578125" style="2" customWidth="1"/>
    <col min="9498" max="9499" width="8.85546875" style="2" customWidth="1"/>
    <col min="9500" max="9500" width="16.7109375" style="2" customWidth="1"/>
    <col min="9501" max="9501" width="18" style="2" customWidth="1"/>
    <col min="9502" max="9502" width="17.85546875" style="2" customWidth="1"/>
    <col min="9503" max="9503" width="17.28515625" style="2" customWidth="1"/>
    <col min="9504" max="9504" width="10.42578125" style="2" customWidth="1"/>
    <col min="9505" max="9505" width="16" style="2" customWidth="1"/>
    <col min="9506" max="9506" width="21.42578125" style="2" customWidth="1"/>
    <col min="9507" max="9507" width="17.28515625" style="2" customWidth="1"/>
    <col min="9508" max="9508" width="11.7109375" style="2" customWidth="1"/>
    <col min="9509" max="9509" width="10.5703125" style="2" customWidth="1"/>
    <col min="9510" max="9511" width="8.85546875" style="2"/>
    <col min="9512" max="9512" width="19.85546875" style="2" customWidth="1"/>
    <col min="9513" max="9513" width="15.140625" style="2" customWidth="1"/>
    <col min="9514" max="9514" width="16.85546875" style="2" customWidth="1"/>
    <col min="9515" max="9517" width="8.85546875" style="2"/>
    <col min="9518" max="9518" width="11.140625" style="2" customWidth="1"/>
    <col min="9519" max="9728" width="8.85546875" style="2"/>
    <col min="9729" max="9729" width="8.85546875" style="2" customWidth="1"/>
    <col min="9730" max="9730" width="24.140625" style="2" customWidth="1"/>
    <col min="9731" max="9731" width="19.5703125" style="2" customWidth="1"/>
    <col min="9732" max="9732" width="11" style="2" customWidth="1"/>
    <col min="9733" max="9733" width="10.140625" style="2" customWidth="1"/>
    <col min="9734" max="9735" width="14.28515625" style="2" customWidth="1"/>
    <col min="9736" max="9737" width="13.5703125" style="2" customWidth="1"/>
    <col min="9738" max="9738" width="10.28515625" style="2" customWidth="1"/>
    <col min="9739" max="9739" width="9.42578125" style="2" customWidth="1"/>
    <col min="9740" max="9740" width="12" style="2" customWidth="1"/>
    <col min="9741" max="9741" width="8.85546875" style="2" customWidth="1"/>
    <col min="9742" max="9742" width="10.7109375" style="2" customWidth="1"/>
    <col min="9743" max="9744" width="8.85546875" style="2" customWidth="1"/>
    <col min="9745" max="9745" width="15.140625" style="2" customWidth="1"/>
    <col min="9746" max="9746" width="10.7109375" style="2" customWidth="1"/>
    <col min="9747" max="9747" width="13" style="2" customWidth="1"/>
    <col min="9748" max="9748" width="19.7109375" style="2" customWidth="1"/>
    <col min="9749" max="9749" width="11.140625" style="2" customWidth="1"/>
    <col min="9750" max="9750" width="8.85546875" style="2" customWidth="1"/>
    <col min="9751" max="9751" width="11.85546875" style="2" customWidth="1"/>
    <col min="9752" max="9752" width="8.85546875" style="2" customWidth="1"/>
    <col min="9753" max="9753" width="12.42578125" style="2" customWidth="1"/>
    <col min="9754" max="9755" width="8.85546875" style="2" customWidth="1"/>
    <col min="9756" max="9756" width="16.7109375" style="2" customWidth="1"/>
    <col min="9757" max="9757" width="18" style="2" customWidth="1"/>
    <col min="9758" max="9758" width="17.85546875" style="2" customWidth="1"/>
    <col min="9759" max="9759" width="17.28515625" style="2" customWidth="1"/>
    <col min="9760" max="9760" width="10.42578125" style="2" customWidth="1"/>
    <col min="9761" max="9761" width="16" style="2" customWidth="1"/>
    <col min="9762" max="9762" width="21.42578125" style="2" customWidth="1"/>
    <col min="9763" max="9763" width="17.28515625" style="2" customWidth="1"/>
    <col min="9764" max="9764" width="11.7109375" style="2" customWidth="1"/>
    <col min="9765" max="9765" width="10.5703125" style="2" customWidth="1"/>
    <col min="9766" max="9767" width="8.85546875" style="2"/>
    <col min="9768" max="9768" width="19.85546875" style="2" customWidth="1"/>
    <col min="9769" max="9769" width="15.140625" style="2" customWidth="1"/>
    <col min="9770" max="9770" width="16.85546875" style="2" customWidth="1"/>
    <col min="9771" max="9773" width="8.85546875" style="2"/>
    <col min="9774" max="9774" width="11.140625" style="2" customWidth="1"/>
    <col min="9775" max="9984" width="8.85546875" style="2"/>
    <col min="9985" max="9985" width="8.85546875" style="2" customWidth="1"/>
    <col min="9986" max="9986" width="24.140625" style="2" customWidth="1"/>
    <col min="9987" max="9987" width="19.5703125" style="2" customWidth="1"/>
    <col min="9988" max="9988" width="11" style="2" customWidth="1"/>
    <col min="9989" max="9989" width="10.140625" style="2" customWidth="1"/>
    <col min="9990" max="9991" width="14.28515625" style="2" customWidth="1"/>
    <col min="9992" max="9993" width="13.5703125" style="2" customWidth="1"/>
    <col min="9994" max="9994" width="10.28515625" style="2" customWidth="1"/>
    <col min="9995" max="9995" width="9.42578125" style="2" customWidth="1"/>
    <col min="9996" max="9996" width="12" style="2" customWidth="1"/>
    <col min="9997" max="9997" width="8.85546875" style="2" customWidth="1"/>
    <col min="9998" max="9998" width="10.7109375" style="2" customWidth="1"/>
    <col min="9999" max="10000" width="8.85546875" style="2" customWidth="1"/>
    <col min="10001" max="10001" width="15.140625" style="2" customWidth="1"/>
    <col min="10002" max="10002" width="10.7109375" style="2" customWidth="1"/>
    <col min="10003" max="10003" width="13" style="2" customWidth="1"/>
    <col min="10004" max="10004" width="19.7109375" style="2" customWidth="1"/>
    <col min="10005" max="10005" width="11.140625" style="2" customWidth="1"/>
    <col min="10006" max="10006" width="8.85546875" style="2" customWidth="1"/>
    <col min="10007" max="10007" width="11.85546875" style="2" customWidth="1"/>
    <col min="10008" max="10008" width="8.85546875" style="2" customWidth="1"/>
    <col min="10009" max="10009" width="12.42578125" style="2" customWidth="1"/>
    <col min="10010" max="10011" width="8.85546875" style="2" customWidth="1"/>
    <col min="10012" max="10012" width="16.7109375" style="2" customWidth="1"/>
    <col min="10013" max="10013" width="18" style="2" customWidth="1"/>
    <col min="10014" max="10014" width="17.85546875" style="2" customWidth="1"/>
    <col min="10015" max="10015" width="17.28515625" style="2" customWidth="1"/>
    <col min="10016" max="10016" width="10.42578125" style="2" customWidth="1"/>
    <col min="10017" max="10017" width="16" style="2" customWidth="1"/>
    <col min="10018" max="10018" width="21.42578125" style="2" customWidth="1"/>
    <col min="10019" max="10019" width="17.28515625" style="2" customWidth="1"/>
    <col min="10020" max="10020" width="11.7109375" style="2" customWidth="1"/>
    <col min="10021" max="10021" width="10.5703125" style="2" customWidth="1"/>
    <col min="10022" max="10023" width="8.85546875" style="2"/>
    <col min="10024" max="10024" width="19.85546875" style="2" customWidth="1"/>
    <col min="10025" max="10025" width="15.140625" style="2" customWidth="1"/>
    <col min="10026" max="10026" width="16.85546875" style="2" customWidth="1"/>
    <col min="10027" max="10029" width="8.85546875" style="2"/>
    <col min="10030" max="10030" width="11.140625" style="2" customWidth="1"/>
    <col min="10031" max="10240" width="8.85546875" style="2"/>
    <col min="10241" max="10241" width="8.85546875" style="2" customWidth="1"/>
    <col min="10242" max="10242" width="24.140625" style="2" customWidth="1"/>
    <col min="10243" max="10243" width="19.5703125" style="2" customWidth="1"/>
    <col min="10244" max="10244" width="11" style="2" customWidth="1"/>
    <col min="10245" max="10245" width="10.140625" style="2" customWidth="1"/>
    <col min="10246" max="10247" width="14.28515625" style="2" customWidth="1"/>
    <col min="10248" max="10249" width="13.5703125" style="2" customWidth="1"/>
    <col min="10250" max="10250" width="10.28515625" style="2" customWidth="1"/>
    <col min="10251" max="10251" width="9.42578125" style="2" customWidth="1"/>
    <col min="10252" max="10252" width="12" style="2" customWidth="1"/>
    <col min="10253" max="10253" width="8.85546875" style="2" customWidth="1"/>
    <col min="10254" max="10254" width="10.7109375" style="2" customWidth="1"/>
    <col min="10255" max="10256" width="8.85546875" style="2" customWidth="1"/>
    <col min="10257" max="10257" width="15.140625" style="2" customWidth="1"/>
    <col min="10258" max="10258" width="10.7109375" style="2" customWidth="1"/>
    <col min="10259" max="10259" width="13" style="2" customWidth="1"/>
    <col min="10260" max="10260" width="19.7109375" style="2" customWidth="1"/>
    <col min="10261" max="10261" width="11.140625" style="2" customWidth="1"/>
    <col min="10262" max="10262" width="8.85546875" style="2" customWidth="1"/>
    <col min="10263" max="10263" width="11.85546875" style="2" customWidth="1"/>
    <col min="10264" max="10264" width="8.85546875" style="2" customWidth="1"/>
    <col min="10265" max="10265" width="12.42578125" style="2" customWidth="1"/>
    <col min="10266" max="10267" width="8.85546875" style="2" customWidth="1"/>
    <col min="10268" max="10268" width="16.7109375" style="2" customWidth="1"/>
    <col min="10269" max="10269" width="18" style="2" customWidth="1"/>
    <col min="10270" max="10270" width="17.85546875" style="2" customWidth="1"/>
    <col min="10271" max="10271" width="17.28515625" style="2" customWidth="1"/>
    <col min="10272" max="10272" width="10.42578125" style="2" customWidth="1"/>
    <col min="10273" max="10273" width="16" style="2" customWidth="1"/>
    <col min="10274" max="10274" width="21.42578125" style="2" customWidth="1"/>
    <col min="10275" max="10275" width="17.28515625" style="2" customWidth="1"/>
    <col min="10276" max="10276" width="11.7109375" style="2" customWidth="1"/>
    <col min="10277" max="10277" width="10.5703125" style="2" customWidth="1"/>
    <col min="10278" max="10279" width="8.85546875" style="2"/>
    <col min="10280" max="10280" width="19.85546875" style="2" customWidth="1"/>
    <col min="10281" max="10281" width="15.140625" style="2" customWidth="1"/>
    <col min="10282" max="10282" width="16.85546875" style="2" customWidth="1"/>
    <col min="10283" max="10285" width="8.85546875" style="2"/>
    <col min="10286" max="10286" width="11.140625" style="2" customWidth="1"/>
    <col min="10287" max="10496" width="8.85546875" style="2"/>
    <col min="10497" max="10497" width="8.85546875" style="2" customWidth="1"/>
    <col min="10498" max="10498" width="24.140625" style="2" customWidth="1"/>
    <col min="10499" max="10499" width="19.5703125" style="2" customWidth="1"/>
    <col min="10500" max="10500" width="11" style="2" customWidth="1"/>
    <col min="10501" max="10501" width="10.140625" style="2" customWidth="1"/>
    <col min="10502" max="10503" width="14.28515625" style="2" customWidth="1"/>
    <col min="10504" max="10505" width="13.5703125" style="2" customWidth="1"/>
    <col min="10506" max="10506" width="10.28515625" style="2" customWidth="1"/>
    <col min="10507" max="10507" width="9.42578125" style="2" customWidth="1"/>
    <col min="10508" max="10508" width="12" style="2" customWidth="1"/>
    <col min="10509" max="10509" width="8.85546875" style="2" customWidth="1"/>
    <col min="10510" max="10510" width="10.7109375" style="2" customWidth="1"/>
    <col min="10511" max="10512" width="8.85546875" style="2" customWidth="1"/>
    <col min="10513" max="10513" width="15.140625" style="2" customWidth="1"/>
    <col min="10514" max="10514" width="10.7109375" style="2" customWidth="1"/>
    <col min="10515" max="10515" width="13" style="2" customWidth="1"/>
    <col min="10516" max="10516" width="19.7109375" style="2" customWidth="1"/>
    <col min="10517" max="10517" width="11.140625" style="2" customWidth="1"/>
    <col min="10518" max="10518" width="8.85546875" style="2" customWidth="1"/>
    <col min="10519" max="10519" width="11.85546875" style="2" customWidth="1"/>
    <col min="10520" max="10520" width="8.85546875" style="2" customWidth="1"/>
    <col min="10521" max="10521" width="12.42578125" style="2" customWidth="1"/>
    <col min="10522" max="10523" width="8.85546875" style="2" customWidth="1"/>
    <col min="10524" max="10524" width="16.7109375" style="2" customWidth="1"/>
    <col min="10525" max="10525" width="18" style="2" customWidth="1"/>
    <col min="10526" max="10526" width="17.85546875" style="2" customWidth="1"/>
    <col min="10527" max="10527" width="17.28515625" style="2" customWidth="1"/>
    <col min="10528" max="10528" width="10.42578125" style="2" customWidth="1"/>
    <col min="10529" max="10529" width="16" style="2" customWidth="1"/>
    <col min="10530" max="10530" width="21.42578125" style="2" customWidth="1"/>
    <col min="10531" max="10531" width="17.28515625" style="2" customWidth="1"/>
    <col min="10532" max="10532" width="11.7109375" style="2" customWidth="1"/>
    <col min="10533" max="10533" width="10.5703125" style="2" customWidth="1"/>
    <col min="10534" max="10535" width="8.85546875" style="2"/>
    <col min="10536" max="10536" width="19.85546875" style="2" customWidth="1"/>
    <col min="10537" max="10537" width="15.140625" style="2" customWidth="1"/>
    <col min="10538" max="10538" width="16.85546875" style="2" customWidth="1"/>
    <col min="10539" max="10541" width="8.85546875" style="2"/>
    <col min="10542" max="10542" width="11.140625" style="2" customWidth="1"/>
    <col min="10543" max="10752" width="8.85546875" style="2"/>
    <col min="10753" max="10753" width="8.85546875" style="2" customWidth="1"/>
    <col min="10754" max="10754" width="24.140625" style="2" customWidth="1"/>
    <col min="10755" max="10755" width="19.5703125" style="2" customWidth="1"/>
    <col min="10756" max="10756" width="11" style="2" customWidth="1"/>
    <col min="10757" max="10757" width="10.140625" style="2" customWidth="1"/>
    <col min="10758" max="10759" width="14.28515625" style="2" customWidth="1"/>
    <col min="10760" max="10761" width="13.5703125" style="2" customWidth="1"/>
    <col min="10762" max="10762" width="10.28515625" style="2" customWidth="1"/>
    <col min="10763" max="10763" width="9.42578125" style="2" customWidth="1"/>
    <col min="10764" max="10764" width="12" style="2" customWidth="1"/>
    <col min="10765" max="10765" width="8.85546875" style="2" customWidth="1"/>
    <col min="10766" max="10766" width="10.7109375" style="2" customWidth="1"/>
    <col min="10767" max="10768" width="8.85546875" style="2" customWidth="1"/>
    <col min="10769" max="10769" width="15.140625" style="2" customWidth="1"/>
    <col min="10770" max="10770" width="10.7109375" style="2" customWidth="1"/>
    <col min="10771" max="10771" width="13" style="2" customWidth="1"/>
    <col min="10772" max="10772" width="19.7109375" style="2" customWidth="1"/>
    <col min="10773" max="10773" width="11.140625" style="2" customWidth="1"/>
    <col min="10774" max="10774" width="8.85546875" style="2" customWidth="1"/>
    <col min="10775" max="10775" width="11.85546875" style="2" customWidth="1"/>
    <col min="10776" max="10776" width="8.85546875" style="2" customWidth="1"/>
    <col min="10777" max="10777" width="12.42578125" style="2" customWidth="1"/>
    <col min="10778" max="10779" width="8.85546875" style="2" customWidth="1"/>
    <col min="10780" max="10780" width="16.7109375" style="2" customWidth="1"/>
    <col min="10781" max="10781" width="18" style="2" customWidth="1"/>
    <col min="10782" max="10782" width="17.85546875" style="2" customWidth="1"/>
    <col min="10783" max="10783" width="17.28515625" style="2" customWidth="1"/>
    <col min="10784" max="10784" width="10.42578125" style="2" customWidth="1"/>
    <col min="10785" max="10785" width="16" style="2" customWidth="1"/>
    <col min="10786" max="10786" width="21.42578125" style="2" customWidth="1"/>
    <col min="10787" max="10787" width="17.28515625" style="2" customWidth="1"/>
    <col min="10788" max="10788" width="11.7109375" style="2" customWidth="1"/>
    <col min="10789" max="10789" width="10.5703125" style="2" customWidth="1"/>
    <col min="10790" max="10791" width="8.85546875" style="2"/>
    <col min="10792" max="10792" width="19.85546875" style="2" customWidth="1"/>
    <col min="10793" max="10793" width="15.140625" style="2" customWidth="1"/>
    <col min="10794" max="10794" width="16.85546875" style="2" customWidth="1"/>
    <col min="10795" max="10797" width="8.85546875" style="2"/>
    <col min="10798" max="10798" width="11.140625" style="2" customWidth="1"/>
    <col min="10799" max="11008" width="8.85546875" style="2"/>
    <col min="11009" max="11009" width="8.85546875" style="2" customWidth="1"/>
    <col min="11010" max="11010" width="24.140625" style="2" customWidth="1"/>
    <col min="11011" max="11011" width="19.5703125" style="2" customWidth="1"/>
    <col min="11012" max="11012" width="11" style="2" customWidth="1"/>
    <col min="11013" max="11013" width="10.140625" style="2" customWidth="1"/>
    <col min="11014" max="11015" width="14.28515625" style="2" customWidth="1"/>
    <col min="11016" max="11017" width="13.5703125" style="2" customWidth="1"/>
    <col min="11018" max="11018" width="10.28515625" style="2" customWidth="1"/>
    <col min="11019" max="11019" width="9.42578125" style="2" customWidth="1"/>
    <col min="11020" max="11020" width="12" style="2" customWidth="1"/>
    <col min="11021" max="11021" width="8.85546875" style="2" customWidth="1"/>
    <col min="11022" max="11022" width="10.7109375" style="2" customWidth="1"/>
    <col min="11023" max="11024" width="8.85546875" style="2" customWidth="1"/>
    <col min="11025" max="11025" width="15.140625" style="2" customWidth="1"/>
    <col min="11026" max="11026" width="10.7109375" style="2" customWidth="1"/>
    <col min="11027" max="11027" width="13" style="2" customWidth="1"/>
    <col min="11028" max="11028" width="19.7109375" style="2" customWidth="1"/>
    <col min="11029" max="11029" width="11.140625" style="2" customWidth="1"/>
    <col min="11030" max="11030" width="8.85546875" style="2" customWidth="1"/>
    <col min="11031" max="11031" width="11.85546875" style="2" customWidth="1"/>
    <col min="11032" max="11032" width="8.85546875" style="2" customWidth="1"/>
    <col min="11033" max="11033" width="12.42578125" style="2" customWidth="1"/>
    <col min="11034" max="11035" width="8.85546875" style="2" customWidth="1"/>
    <col min="11036" max="11036" width="16.7109375" style="2" customWidth="1"/>
    <col min="11037" max="11037" width="18" style="2" customWidth="1"/>
    <col min="11038" max="11038" width="17.85546875" style="2" customWidth="1"/>
    <col min="11039" max="11039" width="17.28515625" style="2" customWidth="1"/>
    <col min="11040" max="11040" width="10.42578125" style="2" customWidth="1"/>
    <col min="11041" max="11041" width="16" style="2" customWidth="1"/>
    <col min="11042" max="11042" width="21.42578125" style="2" customWidth="1"/>
    <col min="11043" max="11043" width="17.28515625" style="2" customWidth="1"/>
    <col min="11044" max="11044" width="11.7109375" style="2" customWidth="1"/>
    <col min="11045" max="11045" width="10.5703125" style="2" customWidth="1"/>
    <col min="11046" max="11047" width="8.85546875" style="2"/>
    <col min="11048" max="11048" width="19.85546875" style="2" customWidth="1"/>
    <col min="11049" max="11049" width="15.140625" style="2" customWidth="1"/>
    <col min="11050" max="11050" width="16.85546875" style="2" customWidth="1"/>
    <col min="11051" max="11053" width="8.85546875" style="2"/>
    <col min="11054" max="11054" width="11.140625" style="2" customWidth="1"/>
    <col min="11055" max="11264" width="8.85546875" style="2"/>
    <col min="11265" max="11265" width="8.85546875" style="2" customWidth="1"/>
    <col min="11266" max="11266" width="24.140625" style="2" customWidth="1"/>
    <col min="11267" max="11267" width="19.5703125" style="2" customWidth="1"/>
    <col min="11268" max="11268" width="11" style="2" customWidth="1"/>
    <col min="11269" max="11269" width="10.140625" style="2" customWidth="1"/>
    <col min="11270" max="11271" width="14.28515625" style="2" customWidth="1"/>
    <col min="11272" max="11273" width="13.5703125" style="2" customWidth="1"/>
    <col min="11274" max="11274" width="10.28515625" style="2" customWidth="1"/>
    <col min="11275" max="11275" width="9.42578125" style="2" customWidth="1"/>
    <col min="11276" max="11276" width="12" style="2" customWidth="1"/>
    <col min="11277" max="11277" width="8.85546875" style="2" customWidth="1"/>
    <col min="11278" max="11278" width="10.7109375" style="2" customWidth="1"/>
    <col min="11279" max="11280" width="8.85546875" style="2" customWidth="1"/>
    <col min="11281" max="11281" width="15.140625" style="2" customWidth="1"/>
    <col min="11282" max="11282" width="10.7109375" style="2" customWidth="1"/>
    <col min="11283" max="11283" width="13" style="2" customWidth="1"/>
    <col min="11284" max="11284" width="19.7109375" style="2" customWidth="1"/>
    <col min="11285" max="11285" width="11.140625" style="2" customWidth="1"/>
    <col min="11286" max="11286" width="8.85546875" style="2" customWidth="1"/>
    <col min="11287" max="11287" width="11.85546875" style="2" customWidth="1"/>
    <col min="11288" max="11288" width="8.85546875" style="2" customWidth="1"/>
    <col min="11289" max="11289" width="12.42578125" style="2" customWidth="1"/>
    <col min="11290" max="11291" width="8.85546875" style="2" customWidth="1"/>
    <col min="11292" max="11292" width="16.7109375" style="2" customWidth="1"/>
    <col min="11293" max="11293" width="18" style="2" customWidth="1"/>
    <col min="11294" max="11294" width="17.85546875" style="2" customWidth="1"/>
    <col min="11295" max="11295" width="17.28515625" style="2" customWidth="1"/>
    <col min="11296" max="11296" width="10.42578125" style="2" customWidth="1"/>
    <col min="11297" max="11297" width="16" style="2" customWidth="1"/>
    <col min="11298" max="11298" width="21.42578125" style="2" customWidth="1"/>
    <col min="11299" max="11299" width="17.28515625" style="2" customWidth="1"/>
    <col min="11300" max="11300" width="11.7109375" style="2" customWidth="1"/>
    <col min="11301" max="11301" width="10.5703125" style="2" customWidth="1"/>
    <col min="11302" max="11303" width="8.85546875" style="2"/>
    <col min="11304" max="11304" width="19.85546875" style="2" customWidth="1"/>
    <col min="11305" max="11305" width="15.140625" style="2" customWidth="1"/>
    <col min="11306" max="11306" width="16.85546875" style="2" customWidth="1"/>
    <col min="11307" max="11309" width="8.85546875" style="2"/>
    <col min="11310" max="11310" width="11.140625" style="2" customWidth="1"/>
    <col min="11311" max="11520" width="8.85546875" style="2"/>
    <col min="11521" max="11521" width="8.85546875" style="2" customWidth="1"/>
    <col min="11522" max="11522" width="24.140625" style="2" customWidth="1"/>
    <col min="11523" max="11523" width="19.5703125" style="2" customWidth="1"/>
    <col min="11524" max="11524" width="11" style="2" customWidth="1"/>
    <col min="11525" max="11525" width="10.140625" style="2" customWidth="1"/>
    <col min="11526" max="11527" width="14.28515625" style="2" customWidth="1"/>
    <col min="11528" max="11529" width="13.5703125" style="2" customWidth="1"/>
    <col min="11530" max="11530" width="10.28515625" style="2" customWidth="1"/>
    <col min="11531" max="11531" width="9.42578125" style="2" customWidth="1"/>
    <col min="11532" max="11532" width="12" style="2" customWidth="1"/>
    <col min="11533" max="11533" width="8.85546875" style="2" customWidth="1"/>
    <col min="11534" max="11534" width="10.7109375" style="2" customWidth="1"/>
    <col min="11535" max="11536" width="8.85546875" style="2" customWidth="1"/>
    <col min="11537" max="11537" width="15.140625" style="2" customWidth="1"/>
    <col min="11538" max="11538" width="10.7109375" style="2" customWidth="1"/>
    <col min="11539" max="11539" width="13" style="2" customWidth="1"/>
    <col min="11540" max="11540" width="19.7109375" style="2" customWidth="1"/>
    <col min="11541" max="11541" width="11.140625" style="2" customWidth="1"/>
    <col min="11542" max="11542" width="8.85546875" style="2" customWidth="1"/>
    <col min="11543" max="11543" width="11.85546875" style="2" customWidth="1"/>
    <col min="11544" max="11544" width="8.85546875" style="2" customWidth="1"/>
    <col min="11545" max="11545" width="12.42578125" style="2" customWidth="1"/>
    <col min="11546" max="11547" width="8.85546875" style="2" customWidth="1"/>
    <col min="11548" max="11548" width="16.7109375" style="2" customWidth="1"/>
    <col min="11549" max="11549" width="18" style="2" customWidth="1"/>
    <col min="11550" max="11550" width="17.85546875" style="2" customWidth="1"/>
    <col min="11551" max="11551" width="17.28515625" style="2" customWidth="1"/>
    <col min="11552" max="11552" width="10.42578125" style="2" customWidth="1"/>
    <col min="11553" max="11553" width="16" style="2" customWidth="1"/>
    <col min="11554" max="11554" width="21.42578125" style="2" customWidth="1"/>
    <col min="11555" max="11555" width="17.28515625" style="2" customWidth="1"/>
    <col min="11556" max="11556" width="11.7109375" style="2" customWidth="1"/>
    <col min="11557" max="11557" width="10.5703125" style="2" customWidth="1"/>
    <col min="11558" max="11559" width="8.85546875" style="2"/>
    <col min="11560" max="11560" width="19.85546875" style="2" customWidth="1"/>
    <col min="11561" max="11561" width="15.140625" style="2" customWidth="1"/>
    <col min="11562" max="11562" width="16.85546875" style="2" customWidth="1"/>
    <col min="11563" max="11565" width="8.85546875" style="2"/>
    <col min="11566" max="11566" width="11.140625" style="2" customWidth="1"/>
    <col min="11567" max="11776" width="8.85546875" style="2"/>
    <col min="11777" max="11777" width="8.85546875" style="2" customWidth="1"/>
    <col min="11778" max="11778" width="24.140625" style="2" customWidth="1"/>
    <col min="11779" max="11779" width="19.5703125" style="2" customWidth="1"/>
    <col min="11780" max="11780" width="11" style="2" customWidth="1"/>
    <col min="11781" max="11781" width="10.140625" style="2" customWidth="1"/>
    <col min="11782" max="11783" width="14.28515625" style="2" customWidth="1"/>
    <col min="11784" max="11785" width="13.5703125" style="2" customWidth="1"/>
    <col min="11786" max="11786" width="10.28515625" style="2" customWidth="1"/>
    <col min="11787" max="11787" width="9.42578125" style="2" customWidth="1"/>
    <col min="11788" max="11788" width="12" style="2" customWidth="1"/>
    <col min="11789" max="11789" width="8.85546875" style="2" customWidth="1"/>
    <col min="11790" max="11790" width="10.7109375" style="2" customWidth="1"/>
    <col min="11791" max="11792" width="8.85546875" style="2" customWidth="1"/>
    <col min="11793" max="11793" width="15.140625" style="2" customWidth="1"/>
    <col min="11794" max="11794" width="10.7109375" style="2" customWidth="1"/>
    <col min="11795" max="11795" width="13" style="2" customWidth="1"/>
    <col min="11796" max="11796" width="19.7109375" style="2" customWidth="1"/>
    <col min="11797" max="11797" width="11.140625" style="2" customWidth="1"/>
    <col min="11798" max="11798" width="8.85546875" style="2" customWidth="1"/>
    <col min="11799" max="11799" width="11.85546875" style="2" customWidth="1"/>
    <col min="11800" max="11800" width="8.85546875" style="2" customWidth="1"/>
    <col min="11801" max="11801" width="12.42578125" style="2" customWidth="1"/>
    <col min="11802" max="11803" width="8.85546875" style="2" customWidth="1"/>
    <col min="11804" max="11804" width="16.7109375" style="2" customWidth="1"/>
    <col min="11805" max="11805" width="18" style="2" customWidth="1"/>
    <col min="11806" max="11806" width="17.85546875" style="2" customWidth="1"/>
    <col min="11807" max="11807" width="17.28515625" style="2" customWidth="1"/>
    <col min="11808" max="11808" width="10.42578125" style="2" customWidth="1"/>
    <col min="11809" max="11809" width="16" style="2" customWidth="1"/>
    <col min="11810" max="11810" width="21.42578125" style="2" customWidth="1"/>
    <col min="11811" max="11811" width="17.28515625" style="2" customWidth="1"/>
    <col min="11812" max="11812" width="11.7109375" style="2" customWidth="1"/>
    <col min="11813" max="11813" width="10.5703125" style="2" customWidth="1"/>
    <col min="11814" max="11815" width="8.85546875" style="2"/>
    <col min="11816" max="11816" width="19.85546875" style="2" customWidth="1"/>
    <col min="11817" max="11817" width="15.140625" style="2" customWidth="1"/>
    <col min="11818" max="11818" width="16.85546875" style="2" customWidth="1"/>
    <col min="11819" max="11821" width="8.85546875" style="2"/>
    <col min="11822" max="11822" width="11.140625" style="2" customWidth="1"/>
    <col min="11823" max="12032" width="8.85546875" style="2"/>
    <col min="12033" max="12033" width="8.85546875" style="2" customWidth="1"/>
    <col min="12034" max="12034" width="24.140625" style="2" customWidth="1"/>
    <col min="12035" max="12035" width="19.5703125" style="2" customWidth="1"/>
    <col min="12036" max="12036" width="11" style="2" customWidth="1"/>
    <col min="12037" max="12037" width="10.140625" style="2" customWidth="1"/>
    <col min="12038" max="12039" width="14.28515625" style="2" customWidth="1"/>
    <col min="12040" max="12041" width="13.5703125" style="2" customWidth="1"/>
    <col min="12042" max="12042" width="10.28515625" style="2" customWidth="1"/>
    <col min="12043" max="12043" width="9.42578125" style="2" customWidth="1"/>
    <col min="12044" max="12044" width="12" style="2" customWidth="1"/>
    <col min="12045" max="12045" width="8.85546875" style="2" customWidth="1"/>
    <col min="12046" max="12046" width="10.7109375" style="2" customWidth="1"/>
    <col min="12047" max="12048" width="8.85546875" style="2" customWidth="1"/>
    <col min="12049" max="12049" width="15.140625" style="2" customWidth="1"/>
    <col min="12050" max="12050" width="10.7109375" style="2" customWidth="1"/>
    <col min="12051" max="12051" width="13" style="2" customWidth="1"/>
    <col min="12052" max="12052" width="19.7109375" style="2" customWidth="1"/>
    <col min="12053" max="12053" width="11.140625" style="2" customWidth="1"/>
    <col min="12054" max="12054" width="8.85546875" style="2" customWidth="1"/>
    <col min="12055" max="12055" width="11.85546875" style="2" customWidth="1"/>
    <col min="12056" max="12056" width="8.85546875" style="2" customWidth="1"/>
    <col min="12057" max="12057" width="12.42578125" style="2" customWidth="1"/>
    <col min="12058" max="12059" width="8.85546875" style="2" customWidth="1"/>
    <col min="12060" max="12060" width="16.7109375" style="2" customWidth="1"/>
    <col min="12061" max="12061" width="18" style="2" customWidth="1"/>
    <col min="12062" max="12062" width="17.85546875" style="2" customWidth="1"/>
    <col min="12063" max="12063" width="17.28515625" style="2" customWidth="1"/>
    <col min="12064" max="12064" width="10.42578125" style="2" customWidth="1"/>
    <col min="12065" max="12065" width="16" style="2" customWidth="1"/>
    <col min="12066" max="12066" width="21.42578125" style="2" customWidth="1"/>
    <col min="12067" max="12067" width="17.28515625" style="2" customWidth="1"/>
    <col min="12068" max="12068" width="11.7109375" style="2" customWidth="1"/>
    <col min="12069" max="12069" width="10.5703125" style="2" customWidth="1"/>
    <col min="12070" max="12071" width="8.85546875" style="2"/>
    <col min="12072" max="12072" width="19.85546875" style="2" customWidth="1"/>
    <col min="12073" max="12073" width="15.140625" style="2" customWidth="1"/>
    <col min="12074" max="12074" width="16.85546875" style="2" customWidth="1"/>
    <col min="12075" max="12077" width="8.85546875" style="2"/>
    <col min="12078" max="12078" width="11.140625" style="2" customWidth="1"/>
    <col min="12079" max="12288" width="8.85546875" style="2"/>
    <col min="12289" max="12289" width="8.85546875" style="2" customWidth="1"/>
    <col min="12290" max="12290" width="24.140625" style="2" customWidth="1"/>
    <col min="12291" max="12291" width="19.5703125" style="2" customWidth="1"/>
    <col min="12292" max="12292" width="11" style="2" customWidth="1"/>
    <col min="12293" max="12293" width="10.140625" style="2" customWidth="1"/>
    <col min="12294" max="12295" width="14.28515625" style="2" customWidth="1"/>
    <col min="12296" max="12297" width="13.5703125" style="2" customWidth="1"/>
    <col min="12298" max="12298" width="10.28515625" style="2" customWidth="1"/>
    <col min="12299" max="12299" width="9.42578125" style="2" customWidth="1"/>
    <col min="12300" max="12300" width="12" style="2" customWidth="1"/>
    <col min="12301" max="12301" width="8.85546875" style="2" customWidth="1"/>
    <col min="12302" max="12302" width="10.7109375" style="2" customWidth="1"/>
    <col min="12303" max="12304" width="8.85546875" style="2" customWidth="1"/>
    <col min="12305" max="12305" width="15.140625" style="2" customWidth="1"/>
    <col min="12306" max="12306" width="10.7109375" style="2" customWidth="1"/>
    <col min="12307" max="12307" width="13" style="2" customWidth="1"/>
    <col min="12308" max="12308" width="19.7109375" style="2" customWidth="1"/>
    <col min="12309" max="12309" width="11.140625" style="2" customWidth="1"/>
    <col min="12310" max="12310" width="8.85546875" style="2" customWidth="1"/>
    <col min="12311" max="12311" width="11.85546875" style="2" customWidth="1"/>
    <col min="12312" max="12312" width="8.85546875" style="2" customWidth="1"/>
    <col min="12313" max="12313" width="12.42578125" style="2" customWidth="1"/>
    <col min="12314" max="12315" width="8.85546875" style="2" customWidth="1"/>
    <col min="12316" max="12316" width="16.7109375" style="2" customWidth="1"/>
    <col min="12317" max="12317" width="18" style="2" customWidth="1"/>
    <col min="12318" max="12318" width="17.85546875" style="2" customWidth="1"/>
    <col min="12319" max="12319" width="17.28515625" style="2" customWidth="1"/>
    <col min="12320" max="12320" width="10.42578125" style="2" customWidth="1"/>
    <col min="12321" max="12321" width="16" style="2" customWidth="1"/>
    <col min="12322" max="12322" width="21.42578125" style="2" customWidth="1"/>
    <col min="12323" max="12323" width="17.28515625" style="2" customWidth="1"/>
    <col min="12324" max="12324" width="11.7109375" style="2" customWidth="1"/>
    <col min="12325" max="12325" width="10.5703125" style="2" customWidth="1"/>
    <col min="12326" max="12327" width="8.85546875" style="2"/>
    <col min="12328" max="12328" width="19.85546875" style="2" customWidth="1"/>
    <col min="12329" max="12329" width="15.140625" style="2" customWidth="1"/>
    <col min="12330" max="12330" width="16.85546875" style="2" customWidth="1"/>
    <col min="12331" max="12333" width="8.85546875" style="2"/>
    <col min="12334" max="12334" width="11.140625" style="2" customWidth="1"/>
    <col min="12335" max="12544" width="8.85546875" style="2"/>
    <col min="12545" max="12545" width="8.85546875" style="2" customWidth="1"/>
    <col min="12546" max="12546" width="24.140625" style="2" customWidth="1"/>
    <col min="12547" max="12547" width="19.5703125" style="2" customWidth="1"/>
    <col min="12548" max="12548" width="11" style="2" customWidth="1"/>
    <col min="12549" max="12549" width="10.140625" style="2" customWidth="1"/>
    <col min="12550" max="12551" width="14.28515625" style="2" customWidth="1"/>
    <col min="12552" max="12553" width="13.5703125" style="2" customWidth="1"/>
    <col min="12554" max="12554" width="10.28515625" style="2" customWidth="1"/>
    <col min="12555" max="12555" width="9.42578125" style="2" customWidth="1"/>
    <col min="12556" max="12556" width="12" style="2" customWidth="1"/>
    <col min="12557" max="12557" width="8.85546875" style="2" customWidth="1"/>
    <col min="12558" max="12558" width="10.7109375" style="2" customWidth="1"/>
    <col min="12559" max="12560" width="8.85546875" style="2" customWidth="1"/>
    <col min="12561" max="12561" width="15.140625" style="2" customWidth="1"/>
    <col min="12562" max="12562" width="10.7109375" style="2" customWidth="1"/>
    <col min="12563" max="12563" width="13" style="2" customWidth="1"/>
    <col min="12564" max="12564" width="19.7109375" style="2" customWidth="1"/>
    <col min="12565" max="12565" width="11.140625" style="2" customWidth="1"/>
    <col min="12566" max="12566" width="8.85546875" style="2" customWidth="1"/>
    <col min="12567" max="12567" width="11.85546875" style="2" customWidth="1"/>
    <col min="12568" max="12568" width="8.85546875" style="2" customWidth="1"/>
    <col min="12569" max="12569" width="12.42578125" style="2" customWidth="1"/>
    <col min="12570" max="12571" width="8.85546875" style="2" customWidth="1"/>
    <col min="12572" max="12572" width="16.7109375" style="2" customWidth="1"/>
    <col min="12573" max="12573" width="18" style="2" customWidth="1"/>
    <col min="12574" max="12574" width="17.85546875" style="2" customWidth="1"/>
    <col min="12575" max="12575" width="17.28515625" style="2" customWidth="1"/>
    <col min="12576" max="12576" width="10.42578125" style="2" customWidth="1"/>
    <col min="12577" max="12577" width="16" style="2" customWidth="1"/>
    <col min="12578" max="12578" width="21.42578125" style="2" customWidth="1"/>
    <col min="12579" max="12579" width="17.28515625" style="2" customWidth="1"/>
    <col min="12580" max="12580" width="11.7109375" style="2" customWidth="1"/>
    <col min="12581" max="12581" width="10.5703125" style="2" customWidth="1"/>
    <col min="12582" max="12583" width="8.85546875" style="2"/>
    <col min="12584" max="12584" width="19.85546875" style="2" customWidth="1"/>
    <col min="12585" max="12585" width="15.140625" style="2" customWidth="1"/>
    <col min="12586" max="12586" width="16.85546875" style="2" customWidth="1"/>
    <col min="12587" max="12589" width="8.85546875" style="2"/>
    <col min="12590" max="12590" width="11.140625" style="2" customWidth="1"/>
    <col min="12591" max="12800" width="8.85546875" style="2"/>
    <col min="12801" max="12801" width="8.85546875" style="2" customWidth="1"/>
    <col min="12802" max="12802" width="24.140625" style="2" customWidth="1"/>
    <col min="12803" max="12803" width="19.5703125" style="2" customWidth="1"/>
    <col min="12804" max="12804" width="11" style="2" customWidth="1"/>
    <col min="12805" max="12805" width="10.140625" style="2" customWidth="1"/>
    <col min="12806" max="12807" width="14.28515625" style="2" customWidth="1"/>
    <col min="12808" max="12809" width="13.5703125" style="2" customWidth="1"/>
    <col min="12810" max="12810" width="10.28515625" style="2" customWidth="1"/>
    <col min="12811" max="12811" width="9.42578125" style="2" customWidth="1"/>
    <col min="12812" max="12812" width="12" style="2" customWidth="1"/>
    <col min="12813" max="12813" width="8.85546875" style="2" customWidth="1"/>
    <col min="12814" max="12814" width="10.7109375" style="2" customWidth="1"/>
    <col min="12815" max="12816" width="8.85546875" style="2" customWidth="1"/>
    <col min="12817" max="12817" width="15.140625" style="2" customWidth="1"/>
    <col min="12818" max="12818" width="10.7109375" style="2" customWidth="1"/>
    <col min="12819" max="12819" width="13" style="2" customWidth="1"/>
    <col min="12820" max="12820" width="19.7109375" style="2" customWidth="1"/>
    <col min="12821" max="12821" width="11.140625" style="2" customWidth="1"/>
    <col min="12822" max="12822" width="8.85546875" style="2" customWidth="1"/>
    <col min="12823" max="12823" width="11.85546875" style="2" customWidth="1"/>
    <col min="12824" max="12824" width="8.85546875" style="2" customWidth="1"/>
    <col min="12825" max="12825" width="12.42578125" style="2" customWidth="1"/>
    <col min="12826" max="12827" width="8.85546875" style="2" customWidth="1"/>
    <col min="12828" max="12828" width="16.7109375" style="2" customWidth="1"/>
    <col min="12829" max="12829" width="18" style="2" customWidth="1"/>
    <col min="12830" max="12830" width="17.85546875" style="2" customWidth="1"/>
    <col min="12831" max="12831" width="17.28515625" style="2" customWidth="1"/>
    <col min="12832" max="12832" width="10.42578125" style="2" customWidth="1"/>
    <col min="12833" max="12833" width="16" style="2" customWidth="1"/>
    <col min="12834" max="12834" width="21.42578125" style="2" customWidth="1"/>
    <col min="12835" max="12835" width="17.28515625" style="2" customWidth="1"/>
    <col min="12836" max="12836" width="11.7109375" style="2" customWidth="1"/>
    <col min="12837" max="12837" width="10.5703125" style="2" customWidth="1"/>
    <col min="12838" max="12839" width="8.85546875" style="2"/>
    <col min="12840" max="12840" width="19.85546875" style="2" customWidth="1"/>
    <col min="12841" max="12841" width="15.140625" style="2" customWidth="1"/>
    <col min="12842" max="12842" width="16.85546875" style="2" customWidth="1"/>
    <col min="12843" max="12845" width="8.85546875" style="2"/>
    <col min="12846" max="12846" width="11.140625" style="2" customWidth="1"/>
    <col min="12847" max="13056" width="8.85546875" style="2"/>
    <col min="13057" max="13057" width="8.85546875" style="2" customWidth="1"/>
    <col min="13058" max="13058" width="24.140625" style="2" customWidth="1"/>
    <col min="13059" max="13059" width="19.5703125" style="2" customWidth="1"/>
    <col min="13060" max="13060" width="11" style="2" customWidth="1"/>
    <col min="13061" max="13061" width="10.140625" style="2" customWidth="1"/>
    <col min="13062" max="13063" width="14.28515625" style="2" customWidth="1"/>
    <col min="13064" max="13065" width="13.5703125" style="2" customWidth="1"/>
    <col min="13066" max="13066" width="10.28515625" style="2" customWidth="1"/>
    <col min="13067" max="13067" width="9.42578125" style="2" customWidth="1"/>
    <col min="13068" max="13068" width="12" style="2" customWidth="1"/>
    <col min="13069" max="13069" width="8.85546875" style="2" customWidth="1"/>
    <col min="13070" max="13070" width="10.7109375" style="2" customWidth="1"/>
    <col min="13071" max="13072" width="8.85546875" style="2" customWidth="1"/>
    <col min="13073" max="13073" width="15.140625" style="2" customWidth="1"/>
    <col min="13074" max="13074" width="10.7109375" style="2" customWidth="1"/>
    <col min="13075" max="13075" width="13" style="2" customWidth="1"/>
    <col min="13076" max="13076" width="19.7109375" style="2" customWidth="1"/>
    <col min="13077" max="13077" width="11.140625" style="2" customWidth="1"/>
    <col min="13078" max="13078" width="8.85546875" style="2" customWidth="1"/>
    <col min="13079" max="13079" width="11.85546875" style="2" customWidth="1"/>
    <col min="13080" max="13080" width="8.85546875" style="2" customWidth="1"/>
    <col min="13081" max="13081" width="12.42578125" style="2" customWidth="1"/>
    <col min="13082" max="13083" width="8.85546875" style="2" customWidth="1"/>
    <col min="13084" max="13084" width="16.7109375" style="2" customWidth="1"/>
    <col min="13085" max="13085" width="18" style="2" customWidth="1"/>
    <col min="13086" max="13086" width="17.85546875" style="2" customWidth="1"/>
    <col min="13087" max="13087" width="17.28515625" style="2" customWidth="1"/>
    <col min="13088" max="13088" width="10.42578125" style="2" customWidth="1"/>
    <col min="13089" max="13089" width="16" style="2" customWidth="1"/>
    <col min="13090" max="13090" width="21.42578125" style="2" customWidth="1"/>
    <col min="13091" max="13091" width="17.28515625" style="2" customWidth="1"/>
    <col min="13092" max="13092" width="11.7109375" style="2" customWidth="1"/>
    <col min="13093" max="13093" width="10.5703125" style="2" customWidth="1"/>
    <col min="13094" max="13095" width="8.85546875" style="2"/>
    <col min="13096" max="13096" width="19.85546875" style="2" customWidth="1"/>
    <col min="13097" max="13097" width="15.140625" style="2" customWidth="1"/>
    <col min="13098" max="13098" width="16.85546875" style="2" customWidth="1"/>
    <col min="13099" max="13101" width="8.85546875" style="2"/>
    <col min="13102" max="13102" width="11.140625" style="2" customWidth="1"/>
    <col min="13103" max="13312" width="8.85546875" style="2"/>
    <col min="13313" max="13313" width="8.85546875" style="2" customWidth="1"/>
    <col min="13314" max="13314" width="24.140625" style="2" customWidth="1"/>
    <col min="13315" max="13315" width="19.5703125" style="2" customWidth="1"/>
    <col min="13316" max="13316" width="11" style="2" customWidth="1"/>
    <col min="13317" max="13317" width="10.140625" style="2" customWidth="1"/>
    <col min="13318" max="13319" width="14.28515625" style="2" customWidth="1"/>
    <col min="13320" max="13321" width="13.5703125" style="2" customWidth="1"/>
    <col min="13322" max="13322" width="10.28515625" style="2" customWidth="1"/>
    <col min="13323" max="13323" width="9.42578125" style="2" customWidth="1"/>
    <col min="13324" max="13324" width="12" style="2" customWidth="1"/>
    <col min="13325" max="13325" width="8.85546875" style="2" customWidth="1"/>
    <col min="13326" max="13326" width="10.7109375" style="2" customWidth="1"/>
    <col min="13327" max="13328" width="8.85546875" style="2" customWidth="1"/>
    <col min="13329" max="13329" width="15.140625" style="2" customWidth="1"/>
    <col min="13330" max="13330" width="10.7109375" style="2" customWidth="1"/>
    <col min="13331" max="13331" width="13" style="2" customWidth="1"/>
    <col min="13332" max="13332" width="19.7109375" style="2" customWidth="1"/>
    <col min="13333" max="13333" width="11.140625" style="2" customWidth="1"/>
    <col min="13334" max="13334" width="8.85546875" style="2" customWidth="1"/>
    <col min="13335" max="13335" width="11.85546875" style="2" customWidth="1"/>
    <col min="13336" max="13336" width="8.85546875" style="2" customWidth="1"/>
    <col min="13337" max="13337" width="12.42578125" style="2" customWidth="1"/>
    <col min="13338" max="13339" width="8.85546875" style="2" customWidth="1"/>
    <col min="13340" max="13340" width="16.7109375" style="2" customWidth="1"/>
    <col min="13341" max="13341" width="18" style="2" customWidth="1"/>
    <col min="13342" max="13342" width="17.85546875" style="2" customWidth="1"/>
    <col min="13343" max="13343" width="17.28515625" style="2" customWidth="1"/>
    <col min="13344" max="13344" width="10.42578125" style="2" customWidth="1"/>
    <col min="13345" max="13345" width="16" style="2" customWidth="1"/>
    <col min="13346" max="13346" width="21.42578125" style="2" customWidth="1"/>
    <col min="13347" max="13347" width="17.28515625" style="2" customWidth="1"/>
    <col min="13348" max="13348" width="11.7109375" style="2" customWidth="1"/>
    <col min="13349" max="13349" width="10.5703125" style="2" customWidth="1"/>
    <col min="13350" max="13351" width="8.85546875" style="2"/>
    <col min="13352" max="13352" width="19.85546875" style="2" customWidth="1"/>
    <col min="13353" max="13353" width="15.140625" style="2" customWidth="1"/>
    <col min="13354" max="13354" width="16.85546875" style="2" customWidth="1"/>
    <col min="13355" max="13357" width="8.85546875" style="2"/>
    <col min="13358" max="13358" width="11.140625" style="2" customWidth="1"/>
    <col min="13359" max="13568" width="8.85546875" style="2"/>
    <col min="13569" max="13569" width="8.85546875" style="2" customWidth="1"/>
    <col min="13570" max="13570" width="24.140625" style="2" customWidth="1"/>
    <col min="13571" max="13571" width="19.5703125" style="2" customWidth="1"/>
    <col min="13572" max="13572" width="11" style="2" customWidth="1"/>
    <col min="13573" max="13573" width="10.140625" style="2" customWidth="1"/>
    <col min="13574" max="13575" width="14.28515625" style="2" customWidth="1"/>
    <col min="13576" max="13577" width="13.5703125" style="2" customWidth="1"/>
    <col min="13578" max="13578" width="10.28515625" style="2" customWidth="1"/>
    <col min="13579" max="13579" width="9.42578125" style="2" customWidth="1"/>
    <col min="13580" max="13580" width="12" style="2" customWidth="1"/>
    <col min="13581" max="13581" width="8.85546875" style="2" customWidth="1"/>
    <col min="13582" max="13582" width="10.7109375" style="2" customWidth="1"/>
    <col min="13583" max="13584" width="8.85546875" style="2" customWidth="1"/>
    <col min="13585" max="13585" width="15.140625" style="2" customWidth="1"/>
    <col min="13586" max="13586" width="10.7109375" style="2" customWidth="1"/>
    <col min="13587" max="13587" width="13" style="2" customWidth="1"/>
    <col min="13588" max="13588" width="19.7109375" style="2" customWidth="1"/>
    <col min="13589" max="13589" width="11.140625" style="2" customWidth="1"/>
    <col min="13590" max="13590" width="8.85546875" style="2" customWidth="1"/>
    <col min="13591" max="13591" width="11.85546875" style="2" customWidth="1"/>
    <col min="13592" max="13592" width="8.85546875" style="2" customWidth="1"/>
    <col min="13593" max="13593" width="12.42578125" style="2" customWidth="1"/>
    <col min="13594" max="13595" width="8.85546875" style="2" customWidth="1"/>
    <col min="13596" max="13596" width="16.7109375" style="2" customWidth="1"/>
    <col min="13597" max="13597" width="18" style="2" customWidth="1"/>
    <col min="13598" max="13598" width="17.85546875" style="2" customWidth="1"/>
    <col min="13599" max="13599" width="17.28515625" style="2" customWidth="1"/>
    <col min="13600" max="13600" width="10.42578125" style="2" customWidth="1"/>
    <col min="13601" max="13601" width="16" style="2" customWidth="1"/>
    <col min="13602" max="13602" width="21.42578125" style="2" customWidth="1"/>
    <col min="13603" max="13603" width="17.28515625" style="2" customWidth="1"/>
    <col min="13604" max="13604" width="11.7109375" style="2" customWidth="1"/>
    <col min="13605" max="13605" width="10.5703125" style="2" customWidth="1"/>
    <col min="13606" max="13607" width="8.85546875" style="2"/>
    <col min="13608" max="13608" width="19.85546875" style="2" customWidth="1"/>
    <col min="13609" max="13609" width="15.140625" style="2" customWidth="1"/>
    <col min="13610" max="13610" width="16.85546875" style="2" customWidth="1"/>
    <col min="13611" max="13613" width="8.85546875" style="2"/>
    <col min="13614" max="13614" width="11.140625" style="2" customWidth="1"/>
    <col min="13615" max="13824" width="8.85546875" style="2"/>
    <col min="13825" max="13825" width="8.85546875" style="2" customWidth="1"/>
    <col min="13826" max="13826" width="24.140625" style="2" customWidth="1"/>
    <col min="13827" max="13827" width="19.5703125" style="2" customWidth="1"/>
    <col min="13828" max="13828" width="11" style="2" customWidth="1"/>
    <col min="13829" max="13829" width="10.140625" style="2" customWidth="1"/>
    <col min="13830" max="13831" width="14.28515625" style="2" customWidth="1"/>
    <col min="13832" max="13833" width="13.5703125" style="2" customWidth="1"/>
    <col min="13834" max="13834" width="10.28515625" style="2" customWidth="1"/>
    <col min="13835" max="13835" width="9.42578125" style="2" customWidth="1"/>
    <col min="13836" max="13836" width="12" style="2" customWidth="1"/>
    <col min="13837" max="13837" width="8.85546875" style="2" customWidth="1"/>
    <col min="13838" max="13838" width="10.7109375" style="2" customWidth="1"/>
    <col min="13839" max="13840" width="8.85546875" style="2" customWidth="1"/>
    <col min="13841" max="13841" width="15.140625" style="2" customWidth="1"/>
    <col min="13842" max="13842" width="10.7109375" style="2" customWidth="1"/>
    <col min="13843" max="13843" width="13" style="2" customWidth="1"/>
    <col min="13844" max="13844" width="19.7109375" style="2" customWidth="1"/>
    <col min="13845" max="13845" width="11.140625" style="2" customWidth="1"/>
    <col min="13846" max="13846" width="8.85546875" style="2" customWidth="1"/>
    <col min="13847" max="13847" width="11.85546875" style="2" customWidth="1"/>
    <col min="13848" max="13848" width="8.85546875" style="2" customWidth="1"/>
    <col min="13849" max="13849" width="12.42578125" style="2" customWidth="1"/>
    <col min="13850" max="13851" width="8.85546875" style="2" customWidth="1"/>
    <col min="13852" max="13852" width="16.7109375" style="2" customWidth="1"/>
    <col min="13853" max="13853" width="18" style="2" customWidth="1"/>
    <col min="13854" max="13854" width="17.85546875" style="2" customWidth="1"/>
    <col min="13855" max="13855" width="17.28515625" style="2" customWidth="1"/>
    <col min="13856" max="13856" width="10.42578125" style="2" customWidth="1"/>
    <col min="13857" max="13857" width="16" style="2" customWidth="1"/>
    <col min="13858" max="13858" width="21.42578125" style="2" customWidth="1"/>
    <col min="13859" max="13859" width="17.28515625" style="2" customWidth="1"/>
    <col min="13860" max="13860" width="11.7109375" style="2" customWidth="1"/>
    <col min="13861" max="13861" width="10.5703125" style="2" customWidth="1"/>
    <col min="13862" max="13863" width="8.85546875" style="2"/>
    <col min="13864" max="13864" width="19.85546875" style="2" customWidth="1"/>
    <col min="13865" max="13865" width="15.140625" style="2" customWidth="1"/>
    <col min="13866" max="13866" width="16.85546875" style="2" customWidth="1"/>
    <col min="13867" max="13869" width="8.85546875" style="2"/>
    <col min="13870" max="13870" width="11.140625" style="2" customWidth="1"/>
    <col min="13871" max="14080" width="8.85546875" style="2"/>
    <col min="14081" max="14081" width="8.85546875" style="2" customWidth="1"/>
    <col min="14082" max="14082" width="24.140625" style="2" customWidth="1"/>
    <col min="14083" max="14083" width="19.5703125" style="2" customWidth="1"/>
    <col min="14084" max="14084" width="11" style="2" customWidth="1"/>
    <col min="14085" max="14085" width="10.140625" style="2" customWidth="1"/>
    <col min="14086" max="14087" width="14.28515625" style="2" customWidth="1"/>
    <col min="14088" max="14089" width="13.5703125" style="2" customWidth="1"/>
    <col min="14090" max="14090" width="10.28515625" style="2" customWidth="1"/>
    <col min="14091" max="14091" width="9.42578125" style="2" customWidth="1"/>
    <col min="14092" max="14092" width="12" style="2" customWidth="1"/>
    <col min="14093" max="14093" width="8.85546875" style="2" customWidth="1"/>
    <col min="14094" max="14094" width="10.7109375" style="2" customWidth="1"/>
    <col min="14095" max="14096" width="8.85546875" style="2" customWidth="1"/>
    <col min="14097" max="14097" width="15.140625" style="2" customWidth="1"/>
    <col min="14098" max="14098" width="10.7109375" style="2" customWidth="1"/>
    <col min="14099" max="14099" width="13" style="2" customWidth="1"/>
    <col min="14100" max="14100" width="19.7109375" style="2" customWidth="1"/>
    <col min="14101" max="14101" width="11.140625" style="2" customWidth="1"/>
    <col min="14102" max="14102" width="8.85546875" style="2" customWidth="1"/>
    <col min="14103" max="14103" width="11.85546875" style="2" customWidth="1"/>
    <col min="14104" max="14104" width="8.85546875" style="2" customWidth="1"/>
    <col min="14105" max="14105" width="12.42578125" style="2" customWidth="1"/>
    <col min="14106" max="14107" width="8.85546875" style="2" customWidth="1"/>
    <col min="14108" max="14108" width="16.7109375" style="2" customWidth="1"/>
    <col min="14109" max="14109" width="18" style="2" customWidth="1"/>
    <col min="14110" max="14110" width="17.85546875" style="2" customWidth="1"/>
    <col min="14111" max="14111" width="17.28515625" style="2" customWidth="1"/>
    <col min="14112" max="14112" width="10.42578125" style="2" customWidth="1"/>
    <col min="14113" max="14113" width="16" style="2" customWidth="1"/>
    <col min="14114" max="14114" width="21.42578125" style="2" customWidth="1"/>
    <col min="14115" max="14115" width="17.28515625" style="2" customWidth="1"/>
    <col min="14116" max="14116" width="11.7109375" style="2" customWidth="1"/>
    <col min="14117" max="14117" width="10.5703125" style="2" customWidth="1"/>
    <col min="14118" max="14119" width="8.85546875" style="2"/>
    <col min="14120" max="14120" width="19.85546875" style="2" customWidth="1"/>
    <col min="14121" max="14121" width="15.140625" style="2" customWidth="1"/>
    <col min="14122" max="14122" width="16.85546875" style="2" customWidth="1"/>
    <col min="14123" max="14125" width="8.85546875" style="2"/>
    <col min="14126" max="14126" width="11.140625" style="2" customWidth="1"/>
    <col min="14127" max="14336" width="8.85546875" style="2"/>
    <col min="14337" max="14337" width="8.85546875" style="2" customWidth="1"/>
    <col min="14338" max="14338" width="24.140625" style="2" customWidth="1"/>
    <col min="14339" max="14339" width="19.5703125" style="2" customWidth="1"/>
    <col min="14340" max="14340" width="11" style="2" customWidth="1"/>
    <col min="14341" max="14341" width="10.140625" style="2" customWidth="1"/>
    <col min="14342" max="14343" width="14.28515625" style="2" customWidth="1"/>
    <col min="14344" max="14345" width="13.5703125" style="2" customWidth="1"/>
    <col min="14346" max="14346" width="10.28515625" style="2" customWidth="1"/>
    <col min="14347" max="14347" width="9.42578125" style="2" customWidth="1"/>
    <col min="14348" max="14348" width="12" style="2" customWidth="1"/>
    <col min="14349" max="14349" width="8.85546875" style="2" customWidth="1"/>
    <col min="14350" max="14350" width="10.7109375" style="2" customWidth="1"/>
    <col min="14351" max="14352" width="8.85546875" style="2" customWidth="1"/>
    <col min="14353" max="14353" width="15.140625" style="2" customWidth="1"/>
    <col min="14354" max="14354" width="10.7109375" style="2" customWidth="1"/>
    <col min="14355" max="14355" width="13" style="2" customWidth="1"/>
    <col min="14356" max="14356" width="19.7109375" style="2" customWidth="1"/>
    <col min="14357" max="14357" width="11.140625" style="2" customWidth="1"/>
    <col min="14358" max="14358" width="8.85546875" style="2" customWidth="1"/>
    <col min="14359" max="14359" width="11.85546875" style="2" customWidth="1"/>
    <col min="14360" max="14360" width="8.85546875" style="2" customWidth="1"/>
    <col min="14361" max="14361" width="12.42578125" style="2" customWidth="1"/>
    <col min="14362" max="14363" width="8.85546875" style="2" customWidth="1"/>
    <col min="14364" max="14364" width="16.7109375" style="2" customWidth="1"/>
    <col min="14365" max="14365" width="18" style="2" customWidth="1"/>
    <col min="14366" max="14366" width="17.85546875" style="2" customWidth="1"/>
    <col min="14367" max="14367" width="17.28515625" style="2" customWidth="1"/>
    <col min="14368" max="14368" width="10.42578125" style="2" customWidth="1"/>
    <col min="14369" max="14369" width="16" style="2" customWidth="1"/>
    <col min="14370" max="14370" width="21.42578125" style="2" customWidth="1"/>
    <col min="14371" max="14371" width="17.28515625" style="2" customWidth="1"/>
    <col min="14372" max="14372" width="11.7109375" style="2" customWidth="1"/>
    <col min="14373" max="14373" width="10.5703125" style="2" customWidth="1"/>
    <col min="14374" max="14375" width="8.85546875" style="2"/>
    <col min="14376" max="14376" width="19.85546875" style="2" customWidth="1"/>
    <col min="14377" max="14377" width="15.140625" style="2" customWidth="1"/>
    <col min="14378" max="14378" width="16.85546875" style="2" customWidth="1"/>
    <col min="14379" max="14381" width="8.85546875" style="2"/>
    <col min="14382" max="14382" width="11.140625" style="2" customWidth="1"/>
    <col min="14383" max="14592" width="8.85546875" style="2"/>
    <col min="14593" max="14593" width="8.85546875" style="2" customWidth="1"/>
    <col min="14594" max="14594" width="24.140625" style="2" customWidth="1"/>
    <col min="14595" max="14595" width="19.5703125" style="2" customWidth="1"/>
    <col min="14596" max="14596" width="11" style="2" customWidth="1"/>
    <col min="14597" max="14597" width="10.140625" style="2" customWidth="1"/>
    <col min="14598" max="14599" width="14.28515625" style="2" customWidth="1"/>
    <col min="14600" max="14601" width="13.5703125" style="2" customWidth="1"/>
    <col min="14602" max="14602" width="10.28515625" style="2" customWidth="1"/>
    <col min="14603" max="14603" width="9.42578125" style="2" customWidth="1"/>
    <col min="14604" max="14604" width="12" style="2" customWidth="1"/>
    <col min="14605" max="14605" width="8.85546875" style="2" customWidth="1"/>
    <col min="14606" max="14606" width="10.7109375" style="2" customWidth="1"/>
    <col min="14607" max="14608" width="8.85546875" style="2" customWidth="1"/>
    <col min="14609" max="14609" width="15.140625" style="2" customWidth="1"/>
    <col min="14610" max="14610" width="10.7109375" style="2" customWidth="1"/>
    <col min="14611" max="14611" width="13" style="2" customWidth="1"/>
    <col min="14612" max="14612" width="19.7109375" style="2" customWidth="1"/>
    <col min="14613" max="14613" width="11.140625" style="2" customWidth="1"/>
    <col min="14614" max="14614" width="8.85546875" style="2" customWidth="1"/>
    <col min="14615" max="14615" width="11.85546875" style="2" customWidth="1"/>
    <col min="14616" max="14616" width="8.85546875" style="2" customWidth="1"/>
    <col min="14617" max="14617" width="12.42578125" style="2" customWidth="1"/>
    <col min="14618" max="14619" width="8.85546875" style="2" customWidth="1"/>
    <col min="14620" max="14620" width="16.7109375" style="2" customWidth="1"/>
    <col min="14621" max="14621" width="18" style="2" customWidth="1"/>
    <col min="14622" max="14622" width="17.85546875" style="2" customWidth="1"/>
    <col min="14623" max="14623" width="17.28515625" style="2" customWidth="1"/>
    <col min="14624" max="14624" width="10.42578125" style="2" customWidth="1"/>
    <col min="14625" max="14625" width="16" style="2" customWidth="1"/>
    <col min="14626" max="14626" width="21.42578125" style="2" customWidth="1"/>
    <col min="14627" max="14627" width="17.28515625" style="2" customWidth="1"/>
    <col min="14628" max="14628" width="11.7109375" style="2" customWidth="1"/>
    <col min="14629" max="14629" width="10.5703125" style="2" customWidth="1"/>
    <col min="14630" max="14631" width="8.85546875" style="2"/>
    <col min="14632" max="14632" width="19.85546875" style="2" customWidth="1"/>
    <col min="14633" max="14633" width="15.140625" style="2" customWidth="1"/>
    <col min="14634" max="14634" width="16.85546875" style="2" customWidth="1"/>
    <col min="14635" max="14637" width="8.85546875" style="2"/>
    <col min="14638" max="14638" width="11.140625" style="2" customWidth="1"/>
    <col min="14639" max="14848" width="8.85546875" style="2"/>
    <col min="14849" max="14849" width="8.85546875" style="2" customWidth="1"/>
    <col min="14850" max="14850" width="24.140625" style="2" customWidth="1"/>
    <col min="14851" max="14851" width="19.5703125" style="2" customWidth="1"/>
    <col min="14852" max="14852" width="11" style="2" customWidth="1"/>
    <col min="14853" max="14853" width="10.140625" style="2" customWidth="1"/>
    <col min="14854" max="14855" width="14.28515625" style="2" customWidth="1"/>
    <col min="14856" max="14857" width="13.5703125" style="2" customWidth="1"/>
    <col min="14858" max="14858" width="10.28515625" style="2" customWidth="1"/>
    <col min="14859" max="14859" width="9.42578125" style="2" customWidth="1"/>
    <col min="14860" max="14860" width="12" style="2" customWidth="1"/>
    <col min="14861" max="14861" width="8.85546875" style="2" customWidth="1"/>
    <col min="14862" max="14862" width="10.7109375" style="2" customWidth="1"/>
    <col min="14863" max="14864" width="8.85546875" style="2" customWidth="1"/>
    <col min="14865" max="14865" width="15.140625" style="2" customWidth="1"/>
    <col min="14866" max="14866" width="10.7109375" style="2" customWidth="1"/>
    <col min="14867" max="14867" width="13" style="2" customWidth="1"/>
    <col min="14868" max="14868" width="19.7109375" style="2" customWidth="1"/>
    <col min="14869" max="14869" width="11.140625" style="2" customWidth="1"/>
    <col min="14870" max="14870" width="8.85546875" style="2" customWidth="1"/>
    <col min="14871" max="14871" width="11.85546875" style="2" customWidth="1"/>
    <col min="14872" max="14872" width="8.85546875" style="2" customWidth="1"/>
    <col min="14873" max="14873" width="12.42578125" style="2" customWidth="1"/>
    <col min="14874" max="14875" width="8.85546875" style="2" customWidth="1"/>
    <col min="14876" max="14876" width="16.7109375" style="2" customWidth="1"/>
    <col min="14877" max="14877" width="18" style="2" customWidth="1"/>
    <col min="14878" max="14878" width="17.85546875" style="2" customWidth="1"/>
    <col min="14879" max="14879" width="17.28515625" style="2" customWidth="1"/>
    <col min="14880" max="14880" width="10.42578125" style="2" customWidth="1"/>
    <col min="14881" max="14881" width="16" style="2" customWidth="1"/>
    <col min="14882" max="14882" width="21.42578125" style="2" customWidth="1"/>
    <col min="14883" max="14883" width="17.28515625" style="2" customWidth="1"/>
    <col min="14884" max="14884" width="11.7109375" style="2" customWidth="1"/>
    <col min="14885" max="14885" width="10.5703125" style="2" customWidth="1"/>
    <col min="14886" max="14887" width="8.85546875" style="2"/>
    <col min="14888" max="14888" width="19.85546875" style="2" customWidth="1"/>
    <col min="14889" max="14889" width="15.140625" style="2" customWidth="1"/>
    <col min="14890" max="14890" width="16.85546875" style="2" customWidth="1"/>
    <col min="14891" max="14893" width="8.85546875" style="2"/>
    <col min="14894" max="14894" width="11.140625" style="2" customWidth="1"/>
    <col min="14895" max="15104" width="8.85546875" style="2"/>
    <col min="15105" max="15105" width="8.85546875" style="2" customWidth="1"/>
    <col min="15106" max="15106" width="24.140625" style="2" customWidth="1"/>
    <col min="15107" max="15107" width="19.5703125" style="2" customWidth="1"/>
    <col min="15108" max="15108" width="11" style="2" customWidth="1"/>
    <col min="15109" max="15109" width="10.140625" style="2" customWidth="1"/>
    <col min="15110" max="15111" width="14.28515625" style="2" customWidth="1"/>
    <col min="15112" max="15113" width="13.5703125" style="2" customWidth="1"/>
    <col min="15114" max="15114" width="10.28515625" style="2" customWidth="1"/>
    <col min="15115" max="15115" width="9.42578125" style="2" customWidth="1"/>
    <col min="15116" max="15116" width="12" style="2" customWidth="1"/>
    <col min="15117" max="15117" width="8.85546875" style="2" customWidth="1"/>
    <col min="15118" max="15118" width="10.7109375" style="2" customWidth="1"/>
    <col min="15119" max="15120" width="8.85546875" style="2" customWidth="1"/>
    <col min="15121" max="15121" width="15.140625" style="2" customWidth="1"/>
    <col min="15122" max="15122" width="10.7109375" style="2" customWidth="1"/>
    <col min="15123" max="15123" width="13" style="2" customWidth="1"/>
    <col min="15124" max="15124" width="19.7109375" style="2" customWidth="1"/>
    <col min="15125" max="15125" width="11.140625" style="2" customWidth="1"/>
    <col min="15126" max="15126" width="8.85546875" style="2" customWidth="1"/>
    <col min="15127" max="15127" width="11.85546875" style="2" customWidth="1"/>
    <col min="15128" max="15128" width="8.85546875" style="2" customWidth="1"/>
    <col min="15129" max="15129" width="12.42578125" style="2" customWidth="1"/>
    <col min="15130" max="15131" width="8.85546875" style="2" customWidth="1"/>
    <col min="15132" max="15132" width="16.7109375" style="2" customWidth="1"/>
    <col min="15133" max="15133" width="18" style="2" customWidth="1"/>
    <col min="15134" max="15134" width="17.85546875" style="2" customWidth="1"/>
    <col min="15135" max="15135" width="17.28515625" style="2" customWidth="1"/>
    <col min="15136" max="15136" width="10.42578125" style="2" customWidth="1"/>
    <col min="15137" max="15137" width="16" style="2" customWidth="1"/>
    <col min="15138" max="15138" width="21.42578125" style="2" customWidth="1"/>
    <col min="15139" max="15139" width="17.28515625" style="2" customWidth="1"/>
    <col min="15140" max="15140" width="11.7109375" style="2" customWidth="1"/>
    <col min="15141" max="15141" width="10.5703125" style="2" customWidth="1"/>
    <col min="15142" max="15143" width="8.85546875" style="2"/>
    <col min="15144" max="15144" width="19.85546875" style="2" customWidth="1"/>
    <col min="15145" max="15145" width="15.140625" style="2" customWidth="1"/>
    <col min="15146" max="15146" width="16.85546875" style="2" customWidth="1"/>
    <col min="15147" max="15149" width="8.85546875" style="2"/>
    <col min="15150" max="15150" width="11.140625" style="2" customWidth="1"/>
    <col min="15151" max="15360" width="8.85546875" style="2"/>
    <col min="15361" max="15361" width="8.85546875" style="2" customWidth="1"/>
    <col min="15362" max="15362" width="24.140625" style="2" customWidth="1"/>
    <col min="15363" max="15363" width="19.5703125" style="2" customWidth="1"/>
    <col min="15364" max="15364" width="11" style="2" customWidth="1"/>
    <col min="15365" max="15365" width="10.140625" style="2" customWidth="1"/>
    <col min="15366" max="15367" width="14.28515625" style="2" customWidth="1"/>
    <col min="15368" max="15369" width="13.5703125" style="2" customWidth="1"/>
    <col min="15370" max="15370" width="10.28515625" style="2" customWidth="1"/>
    <col min="15371" max="15371" width="9.42578125" style="2" customWidth="1"/>
    <col min="15372" max="15372" width="12" style="2" customWidth="1"/>
    <col min="15373" max="15373" width="8.85546875" style="2" customWidth="1"/>
    <col min="15374" max="15374" width="10.7109375" style="2" customWidth="1"/>
    <col min="15375" max="15376" width="8.85546875" style="2" customWidth="1"/>
    <col min="15377" max="15377" width="15.140625" style="2" customWidth="1"/>
    <col min="15378" max="15378" width="10.7109375" style="2" customWidth="1"/>
    <col min="15379" max="15379" width="13" style="2" customWidth="1"/>
    <col min="15380" max="15380" width="19.7109375" style="2" customWidth="1"/>
    <col min="15381" max="15381" width="11.140625" style="2" customWidth="1"/>
    <col min="15382" max="15382" width="8.85546875" style="2" customWidth="1"/>
    <col min="15383" max="15383" width="11.85546875" style="2" customWidth="1"/>
    <col min="15384" max="15384" width="8.85546875" style="2" customWidth="1"/>
    <col min="15385" max="15385" width="12.42578125" style="2" customWidth="1"/>
    <col min="15386" max="15387" width="8.85546875" style="2" customWidth="1"/>
    <col min="15388" max="15388" width="16.7109375" style="2" customWidth="1"/>
    <col min="15389" max="15389" width="18" style="2" customWidth="1"/>
    <col min="15390" max="15390" width="17.85546875" style="2" customWidth="1"/>
    <col min="15391" max="15391" width="17.28515625" style="2" customWidth="1"/>
    <col min="15392" max="15392" width="10.42578125" style="2" customWidth="1"/>
    <col min="15393" max="15393" width="16" style="2" customWidth="1"/>
    <col min="15394" max="15394" width="21.42578125" style="2" customWidth="1"/>
    <col min="15395" max="15395" width="17.28515625" style="2" customWidth="1"/>
    <col min="15396" max="15396" width="11.7109375" style="2" customWidth="1"/>
    <col min="15397" max="15397" width="10.5703125" style="2" customWidth="1"/>
    <col min="15398" max="15399" width="8.85546875" style="2"/>
    <col min="15400" max="15400" width="19.85546875" style="2" customWidth="1"/>
    <col min="15401" max="15401" width="15.140625" style="2" customWidth="1"/>
    <col min="15402" max="15402" width="16.85546875" style="2" customWidth="1"/>
    <col min="15403" max="15405" width="8.85546875" style="2"/>
    <col min="15406" max="15406" width="11.140625" style="2" customWidth="1"/>
    <col min="15407" max="15616" width="8.85546875" style="2"/>
    <col min="15617" max="15617" width="8.85546875" style="2" customWidth="1"/>
    <col min="15618" max="15618" width="24.140625" style="2" customWidth="1"/>
    <col min="15619" max="15619" width="19.5703125" style="2" customWidth="1"/>
    <col min="15620" max="15620" width="11" style="2" customWidth="1"/>
    <col min="15621" max="15621" width="10.140625" style="2" customWidth="1"/>
    <col min="15622" max="15623" width="14.28515625" style="2" customWidth="1"/>
    <col min="15624" max="15625" width="13.5703125" style="2" customWidth="1"/>
    <col min="15626" max="15626" width="10.28515625" style="2" customWidth="1"/>
    <col min="15627" max="15627" width="9.42578125" style="2" customWidth="1"/>
    <col min="15628" max="15628" width="12" style="2" customWidth="1"/>
    <col min="15629" max="15629" width="8.85546875" style="2" customWidth="1"/>
    <col min="15630" max="15630" width="10.7109375" style="2" customWidth="1"/>
    <col min="15631" max="15632" width="8.85546875" style="2" customWidth="1"/>
    <col min="15633" max="15633" width="15.140625" style="2" customWidth="1"/>
    <col min="15634" max="15634" width="10.7109375" style="2" customWidth="1"/>
    <col min="15635" max="15635" width="13" style="2" customWidth="1"/>
    <col min="15636" max="15636" width="19.7109375" style="2" customWidth="1"/>
    <col min="15637" max="15637" width="11.140625" style="2" customWidth="1"/>
    <col min="15638" max="15638" width="8.85546875" style="2" customWidth="1"/>
    <col min="15639" max="15639" width="11.85546875" style="2" customWidth="1"/>
    <col min="15640" max="15640" width="8.85546875" style="2" customWidth="1"/>
    <col min="15641" max="15641" width="12.42578125" style="2" customWidth="1"/>
    <col min="15642" max="15643" width="8.85546875" style="2" customWidth="1"/>
    <col min="15644" max="15644" width="16.7109375" style="2" customWidth="1"/>
    <col min="15645" max="15645" width="18" style="2" customWidth="1"/>
    <col min="15646" max="15646" width="17.85546875" style="2" customWidth="1"/>
    <col min="15647" max="15647" width="17.28515625" style="2" customWidth="1"/>
    <col min="15648" max="15648" width="10.42578125" style="2" customWidth="1"/>
    <col min="15649" max="15649" width="16" style="2" customWidth="1"/>
    <col min="15650" max="15650" width="21.42578125" style="2" customWidth="1"/>
    <col min="15651" max="15651" width="17.28515625" style="2" customWidth="1"/>
    <col min="15652" max="15652" width="11.7109375" style="2" customWidth="1"/>
    <col min="15653" max="15653" width="10.5703125" style="2" customWidth="1"/>
    <col min="15654" max="15655" width="8.85546875" style="2"/>
    <col min="15656" max="15656" width="19.85546875" style="2" customWidth="1"/>
    <col min="15657" max="15657" width="15.140625" style="2" customWidth="1"/>
    <col min="15658" max="15658" width="16.85546875" style="2" customWidth="1"/>
    <col min="15659" max="15661" width="8.85546875" style="2"/>
    <col min="15662" max="15662" width="11.140625" style="2" customWidth="1"/>
    <col min="15663" max="15872" width="8.85546875" style="2"/>
    <col min="15873" max="15873" width="8.85546875" style="2" customWidth="1"/>
    <col min="15874" max="15874" width="24.140625" style="2" customWidth="1"/>
    <col min="15875" max="15875" width="19.5703125" style="2" customWidth="1"/>
    <col min="15876" max="15876" width="11" style="2" customWidth="1"/>
    <col min="15877" max="15877" width="10.140625" style="2" customWidth="1"/>
    <col min="15878" max="15879" width="14.28515625" style="2" customWidth="1"/>
    <col min="15880" max="15881" width="13.5703125" style="2" customWidth="1"/>
    <col min="15882" max="15882" width="10.28515625" style="2" customWidth="1"/>
    <col min="15883" max="15883" width="9.42578125" style="2" customWidth="1"/>
    <col min="15884" max="15884" width="12" style="2" customWidth="1"/>
    <col min="15885" max="15885" width="8.85546875" style="2" customWidth="1"/>
    <col min="15886" max="15886" width="10.7109375" style="2" customWidth="1"/>
    <col min="15887" max="15888" width="8.85546875" style="2" customWidth="1"/>
    <col min="15889" max="15889" width="15.140625" style="2" customWidth="1"/>
    <col min="15890" max="15890" width="10.7109375" style="2" customWidth="1"/>
    <col min="15891" max="15891" width="13" style="2" customWidth="1"/>
    <col min="15892" max="15892" width="19.7109375" style="2" customWidth="1"/>
    <col min="15893" max="15893" width="11.140625" style="2" customWidth="1"/>
    <col min="15894" max="15894" width="8.85546875" style="2" customWidth="1"/>
    <col min="15895" max="15895" width="11.85546875" style="2" customWidth="1"/>
    <col min="15896" max="15896" width="8.85546875" style="2" customWidth="1"/>
    <col min="15897" max="15897" width="12.42578125" style="2" customWidth="1"/>
    <col min="15898" max="15899" width="8.85546875" style="2" customWidth="1"/>
    <col min="15900" max="15900" width="16.7109375" style="2" customWidth="1"/>
    <col min="15901" max="15901" width="18" style="2" customWidth="1"/>
    <col min="15902" max="15902" width="17.85546875" style="2" customWidth="1"/>
    <col min="15903" max="15903" width="17.28515625" style="2" customWidth="1"/>
    <col min="15904" max="15904" width="10.42578125" style="2" customWidth="1"/>
    <col min="15905" max="15905" width="16" style="2" customWidth="1"/>
    <col min="15906" max="15906" width="21.42578125" style="2" customWidth="1"/>
    <col min="15907" max="15907" width="17.28515625" style="2" customWidth="1"/>
    <col min="15908" max="15908" width="11.7109375" style="2" customWidth="1"/>
    <col min="15909" max="15909" width="10.5703125" style="2" customWidth="1"/>
    <col min="15910" max="15911" width="8.85546875" style="2"/>
    <col min="15912" max="15912" width="19.85546875" style="2" customWidth="1"/>
    <col min="15913" max="15913" width="15.140625" style="2" customWidth="1"/>
    <col min="15914" max="15914" width="16.85546875" style="2" customWidth="1"/>
    <col min="15915" max="15917" width="8.85546875" style="2"/>
    <col min="15918" max="15918" width="11.140625" style="2" customWidth="1"/>
    <col min="15919" max="16128" width="8.85546875" style="2"/>
    <col min="16129" max="16129" width="8.85546875" style="2" customWidth="1"/>
    <col min="16130" max="16130" width="24.140625" style="2" customWidth="1"/>
    <col min="16131" max="16131" width="19.5703125" style="2" customWidth="1"/>
    <col min="16132" max="16132" width="11" style="2" customWidth="1"/>
    <col min="16133" max="16133" width="10.140625" style="2" customWidth="1"/>
    <col min="16134" max="16135" width="14.28515625" style="2" customWidth="1"/>
    <col min="16136" max="16137" width="13.5703125" style="2" customWidth="1"/>
    <col min="16138" max="16138" width="10.28515625" style="2" customWidth="1"/>
    <col min="16139" max="16139" width="9.42578125" style="2" customWidth="1"/>
    <col min="16140" max="16140" width="12" style="2" customWidth="1"/>
    <col min="16141" max="16141" width="8.85546875" style="2" customWidth="1"/>
    <col min="16142" max="16142" width="10.7109375" style="2" customWidth="1"/>
    <col min="16143" max="16144" width="8.85546875" style="2" customWidth="1"/>
    <col min="16145" max="16145" width="15.140625" style="2" customWidth="1"/>
    <col min="16146" max="16146" width="10.7109375" style="2" customWidth="1"/>
    <col min="16147" max="16147" width="13" style="2" customWidth="1"/>
    <col min="16148" max="16148" width="19.7109375" style="2" customWidth="1"/>
    <col min="16149" max="16149" width="11.140625" style="2" customWidth="1"/>
    <col min="16150" max="16150" width="8.85546875" style="2" customWidth="1"/>
    <col min="16151" max="16151" width="11.85546875" style="2" customWidth="1"/>
    <col min="16152" max="16152" width="8.85546875" style="2" customWidth="1"/>
    <col min="16153" max="16153" width="12.42578125" style="2" customWidth="1"/>
    <col min="16154" max="16155" width="8.85546875" style="2" customWidth="1"/>
    <col min="16156" max="16156" width="16.7109375" style="2" customWidth="1"/>
    <col min="16157" max="16157" width="18" style="2" customWidth="1"/>
    <col min="16158" max="16158" width="17.85546875" style="2" customWidth="1"/>
    <col min="16159" max="16159" width="17.28515625" style="2" customWidth="1"/>
    <col min="16160" max="16160" width="10.42578125" style="2" customWidth="1"/>
    <col min="16161" max="16161" width="16" style="2" customWidth="1"/>
    <col min="16162" max="16162" width="21.42578125" style="2" customWidth="1"/>
    <col min="16163" max="16163" width="17.28515625" style="2" customWidth="1"/>
    <col min="16164" max="16164" width="11.7109375" style="2" customWidth="1"/>
    <col min="16165" max="16165" width="10.5703125" style="2" customWidth="1"/>
    <col min="16166" max="16167" width="8.85546875" style="2"/>
    <col min="16168" max="16168" width="19.85546875" style="2" customWidth="1"/>
    <col min="16169" max="16169" width="15.140625" style="2" customWidth="1"/>
    <col min="16170" max="16170" width="16.85546875" style="2" customWidth="1"/>
    <col min="16171" max="16173" width="8.85546875" style="2"/>
    <col min="16174" max="16174" width="11.140625" style="2" customWidth="1"/>
    <col min="16175" max="16384" width="8.85546875" style="2"/>
  </cols>
  <sheetData>
    <row r="1" spans="1:48" ht="24.75" customHeight="1" x14ac:dyDescent="0.3">
      <c r="A1" s="1"/>
      <c r="B1" s="1"/>
      <c r="C1" s="1"/>
      <c r="E1" s="1"/>
      <c r="F1" s="1"/>
      <c r="G1" s="1"/>
      <c r="H1" s="1" t="s">
        <v>0</v>
      </c>
      <c r="J1" s="1"/>
      <c r="L1" s="3" t="s">
        <v>1</v>
      </c>
      <c r="M1" s="3" t="s">
        <v>2</v>
      </c>
      <c r="N1" s="4" t="s">
        <v>3</v>
      </c>
      <c r="O1" s="5"/>
      <c r="P1" s="6" t="s">
        <v>4</v>
      </c>
      <c r="R1" s="7"/>
      <c r="S1" s="8" t="s">
        <v>5</v>
      </c>
      <c r="V1" s="8" t="s">
        <v>6</v>
      </c>
      <c r="AB1" s="9" t="s">
        <v>7</v>
      </c>
      <c r="AC1" s="10"/>
      <c r="AD1" s="11" t="s">
        <v>8</v>
      </c>
      <c r="AI1" s="12" t="s">
        <v>9</v>
      </c>
      <c r="AJ1" s="13"/>
      <c r="AK1" s="6" t="s">
        <v>10</v>
      </c>
      <c r="AM1" s="7"/>
      <c r="AN1" s="6" t="s">
        <v>11</v>
      </c>
      <c r="AO1" s="2">
        <f>AM3</f>
        <v>40</v>
      </c>
      <c r="AP1" s="6" t="s">
        <v>12</v>
      </c>
      <c r="AQ1" s="8" t="s">
        <v>6</v>
      </c>
    </row>
    <row r="2" spans="1:48" ht="15.75" x14ac:dyDescent="0.25">
      <c r="A2" s="14"/>
      <c r="F2" s="15" t="s">
        <v>13</v>
      </c>
      <c r="G2" s="1"/>
      <c r="H2" s="1"/>
      <c r="I2" s="1"/>
      <c r="J2" s="1"/>
      <c r="L2" s="16">
        <v>200</v>
      </c>
      <c r="M2" s="17">
        <f>L2*S2</f>
        <v>432.61670365330866</v>
      </c>
      <c r="N2" s="5">
        <f>240*2</f>
        <v>480</v>
      </c>
      <c r="O2" s="5">
        <f>N2*S2</f>
        <v>1038.2800887679407</v>
      </c>
      <c r="P2" s="8" t="s">
        <v>8</v>
      </c>
      <c r="Q2" s="8" t="s">
        <v>14</v>
      </c>
      <c r="R2" s="6">
        <v>250</v>
      </c>
      <c r="S2" s="18">
        <f>'[1]К УСЛУГИ Испр.'!$M$150</f>
        <v>2.1630835182665433</v>
      </c>
      <c r="T2" s="18">
        <f>R2*S2</f>
        <v>540.77087956663581</v>
      </c>
      <c r="V2" s="18">
        <f>$F$29</f>
        <v>1.7</v>
      </c>
      <c r="W2" s="18">
        <f>R2*V2</f>
        <v>425</v>
      </c>
      <c r="AA2" s="8" t="s">
        <v>14</v>
      </c>
      <c r="AB2" s="6">
        <v>60</v>
      </c>
      <c r="AC2" s="19">
        <f>AB2*V2</f>
        <v>102</v>
      </c>
      <c r="AD2" s="20">
        <f>AC2*1.2</f>
        <v>122.39999999999999</v>
      </c>
      <c r="AK2" s="8" t="s">
        <v>8</v>
      </c>
      <c r="AL2" s="8" t="s">
        <v>14</v>
      </c>
      <c r="AM2" s="2">
        <v>1120</v>
      </c>
      <c r="AN2" s="18">
        <f>'[1]К УСЛУГИ Испр.'!$M$150</f>
        <v>2.1630835182665433</v>
      </c>
      <c r="AO2" s="21">
        <f>AM2*AN2</f>
        <v>2422.6535404585284</v>
      </c>
      <c r="AQ2" s="2">
        <f>$F$29</f>
        <v>1.7</v>
      </c>
      <c r="AR2" s="2">
        <f>AM2*AQ2</f>
        <v>1904</v>
      </c>
      <c r="AV2" s="8" t="s">
        <v>14</v>
      </c>
    </row>
    <row r="3" spans="1:48" ht="30.75" customHeight="1" x14ac:dyDescent="0.25">
      <c r="A3" s="1" t="s">
        <v>15</v>
      </c>
      <c r="B3" s="1"/>
      <c r="C3" s="1"/>
      <c r="D3" s="1"/>
      <c r="E3" s="1"/>
      <c r="L3" s="2">
        <v>35</v>
      </c>
      <c r="M3" s="2">
        <f>L3*S3</f>
        <v>73.096271889646829</v>
      </c>
      <c r="N3" s="2">
        <v>40</v>
      </c>
      <c r="O3" s="2">
        <f>N3*S3</f>
        <v>83.538596445310674</v>
      </c>
      <c r="Q3" s="8" t="s">
        <v>16</v>
      </c>
      <c r="R3" s="6">
        <v>40</v>
      </c>
      <c r="S3" s="18">
        <f>'[1]К УСЛУГИ Испр.'!$M$167</f>
        <v>2.0884649111327667</v>
      </c>
      <c r="T3" s="18">
        <f>R3*S3</f>
        <v>83.538596445310674</v>
      </c>
      <c r="V3" s="18">
        <f>$H$30</f>
        <v>1.3</v>
      </c>
      <c r="W3" s="18">
        <f>R3*V3</f>
        <v>52</v>
      </c>
      <c r="AA3" s="8" t="s">
        <v>16</v>
      </c>
      <c r="AB3" s="2">
        <v>25</v>
      </c>
      <c r="AC3" s="22">
        <f>AB3*V3</f>
        <v>32.5</v>
      </c>
      <c r="AD3" s="20">
        <f>AC3*1.2</f>
        <v>39</v>
      </c>
      <c r="AG3" s="23">
        <f>(AC2+AC5)/28</f>
        <v>7.5</v>
      </c>
      <c r="AL3" s="8" t="s">
        <v>16</v>
      </c>
      <c r="AM3" s="2">
        <v>40</v>
      </c>
      <c r="AN3" s="18">
        <f>'[1]К УСЛУГИ Испр.'!$M$167</f>
        <v>2.0884649111327667</v>
      </c>
      <c r="AO3" s="21">
        <f>AM3*AN3</f>
        <v>83.538596445310674</v>
      </c>
      <c r="AQ3" s="2">
        <f>$H$30</f>
        <v>1.3</v>
      </c>
      <c r="AR3" s="2">
        <f>AM3*AQ3</f>
        <v>52</v>
      </c>
      <c r="AV3" s="8" t="s">
        <v>16</v>
      </c>
    </row>
    <row r="4" spans="1:48" ht="15.75" x14ac:dyDescent="0.25">
      <c r="A4" s="1"/>
      <c r="B4" s="1"/>
      <c r="C4" s="1"/>
      <c r="H4" s="24"/>
      <c r="I4" s="1" t="s">
        <v>17</v>
      </c>
      <c r="L4" s="2">
        <v>35</v>
      </c>
      <c r="M4" s="2">
        <f>L4*S4</f>
        <v>34.438130376144194</v>
      </c>
      <c r="N4" s="2">
        <v>40</v>
      </c>
      <c r="O4" s="2">
        <f>N4*S4</f>
        <v>39.357863287021935</v>
      </c>
      <c r="Q4" s="8" t="s">
        <v>16</v>
      </c>
      <c r="R4" s="6">
        <v>40</v>
      </c>
      <c r="S4" s="18">
        <f>'[1]К УСЛУГИ Испр.'!$N$167</f>
        <v>0.98394658217554831</v>
      </c>
      <c r="T4" s="18">
        <f>R4*S4</f>
        <v>39.357863287021935</v>
      </c>
      <c r="V4" s="18">
        <f>$V$3</f>
        <v>1.3</v>
      </c>
      <c r="W4" s="18">
        <f>R4*V4</f>
        <v>52</v>
      </c>
      <c r="AA4" s="8" t="s">
        <v>16</v>
      </c>
      <c r="AB4" s="2">
        <v>25</v>
      </c>
      <c r="AC4" s="22">
        <f>AB4*V4</f>
        <v>32.5</v>
      </c>
      <c r="AD4" s="20">
        <f>AC4*1.2</f>
        <v>39</v>
      </c>
      <c r="AE4" s="8" t="s">
        <v>18</v>
      </c>
      <c r="AL4" s="8" t="s">
        <v>16</v>
      </c>
      <c r="AM4" s="2">
        <v>40</v>
      </c>
      <c r="AN4" s="18">
        <f>'[1]К УСЛУГИ Испр.'!$N$167</f>
        <v>0.98394658217554831</v>
      </c>
      <c r="AO4" s="21">
        <f>AM4*AN4</f>
        <v>39.357863287021935</v>
      </c>
      <c r="AQ4" s="2">
        <f>$V$3</f>
        <v>1.3</v>
      </c>
      <c r="AR4" s="2">
        <f>AM4*AQ4</f>
        <v>52</v>
      </c>
      <c r="AV4" s="8" t="s">
        <v>16</v>
      </c>
    </row>
    <row r="5" spans="1:48" ht="32.25" customHeight="1" x14ac:dyDescent="0.25">
      <c r="A5" s="1"/>
      <c r="B5" s="1"/>
      <c r="C5" s="1"/>
      <c r="E5" s="6"/>
      <c r="G5" s="25"/>
      <c r="I5" s="25" t="s">
        <v>19</v>
      </c>
      <c r="J5" s="26"/>
      <c r="L5" s="2">
        <v>4</v>
      </c>
      <c r="M5" s="2">
        <f>L5*S5</f>
        <v>172.25685070965517</v>
      </c>
      <c r="N5" s="2">
        <v>12</v>
      </c>
      <c r="O5" s="2">
        <f>N5*S5</f>
        <v>516.77055212896551</v>
      </c>
      <c r="Q5" s="8" t="s">
        <v>20</v>
      </c>
      <c r="R5" s="6">
        <v>5</v>
      </c>
      <c r="S5" s="18">
        <f>'[1]К УСЛУГИ Испр.'!$M$131</f>
        <v>43.064212677413792</v>
      </c>
      <c r="T5" s="18">
        <f>R5*S5</f>
        <v>215.32106338706896</v>
      </c>
      <c r="V5" s="18">
        <f>$D$29</f>
        <v>27</v>
      </c>
      <c r="W5" s="18">
        <f>R5*V5</f>
        <v>135</v>
      </c>
      <c r="X5" s="8" t="s">
        <v>21</v>
      </c>
      <c r="Z5" s="8" t="s">
        <v>22</v>
      </c>
      <c r="AA5" s="8" t="s">
        <v>20</v>
      </c>
      <c r="AB5" s="2">
        <v>4</v>
      </c>
      <c r="AC5" s="27">
        <f>AB5*V5</f>
        <v>108</v>
      </c>
      <c r="AD5" s="28">
        <f>AC5*1.2</f>
        <v>129.6</v>
      </c>
      <c r="AE5" s="29" t="s">
        <v>23</v>
      </c>
      <c r="AF5" s="6" t="s">
        <v>24</v>
      </c>
      <c r="AG5" s="8" t="s">
        <v>25</v>
      </c>
      <c r="AH5" s="8" t="s">
        <v>22</v>
      </c>
      <c r="AL5" s="8" t="s">
        <v>20</v>
      </c>
      <c r="AM5" s="2">
        <v>12</v>
      </c>
      <c r="AN5" s="18">
        <f>'[1]К УСЛУГИ Испр.'!$M$131</f>
        <v>43.064212677413792</v>
      </c>
      <c r="AO5" s="21">
        <f>AM5*AN5</f>
        <v>516.77055212896551</v>
      </c>
      <c r="AQ5" s="2">
        <f>$D$29</f>
        <v>27</v>
      </c>
      <c r="AR5" s="2">
        <f>AM5*AQ5</f>
        <v>324</v>
      </c>
      <c r="AS5" s="8" t="s">
        <v>21</v>
      </c>
      <c r="AU5" s="8" t="s">
        <v>22</v>
      </c>
      <c r="AV5" s="8" t="s">
        <v>20</v>
      </c>
    </row>
    <row r="6" spans="1:48" ht="39" customHeight="1" x14ac:dyDescent="0.25">
      <c r="A6" s="253" t="s">
        <v>26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M6" s="2">
        <f>M2+M3+M4+M5</f>
        <v>712.40795662875485</v>
      </c>
      <c r="O6" s="2">
        <f>O2+O3+O4+O5</f>
        <v>1677.9471006292388</v>
      </c>
      <c r="T6" s="22">
        <f>SUM(T2:T5)</f>
        <v>878.98840268603738</v>
      </c>
      <c r="U6" s="30">
        <f>T6/R3</f>
        <v>21.974710067150934</v>
      </c>
      <c r="W6" s="2">
        <f>SUM(W2:W5)</f>
        <v>664</v>
      </c>
      <c r="X6" s="2">
        <f>W6/R3</f>
        <v>16.600000000000001</v>
      </c>
      <c r="Y6" s="2">
        <f>W6*1.2</f>
        <v>796.8</v>
      </c>
      <c r="Z6" s="2">
        <f>Y6/R3</f>
        <v>19.919999999999998</v>
      </c>
      <c r="AC6" s="31">
        <f>SUM(AC2:AC5)</f>
        <v>275</v>
      </c>
      <c r="AD6" s="31">
        <f>AC6*20%</f>
        <v>55</v>
      </c>
      <c r="AE6" s="31">
        <f>AC6+AD6</f>
        <v>330</v>
      </c>
      <c r="AF6" s="23">
        <f>AE6/AB4</f>
        <v>13.2</v>
      </c>
      <c r="AG6" s="32">
        <f>AC6/AB4</f>
        <v>11</v>
      </c>
      <c r="AH6" s="18">
        <f>AE6/AB4</f>
        <v>13.2</v>
      </c>
      <c r="AO6" s="33">
        <f>SUM(AO2:AO5)</f>
        <v>3062.3205523198267</v>
      </c>
      <c r="AP6" s="34">
        <f>AO6/AO1</f>
        <v>76.558013807995664</v>
      </c>
      <c r="AR6" s="2">
        <f>SUM(AR2:AR5)</f>
        <v>2332</v>
      </c>
      <c r="AS6" s="2">
        <f>AR6/AO1</f>
        <v>58.3</v>
      </c>
      <c r="AT6" s="2">
        <f>AR6*1.2</f>
        <v>2798.4</v>
      </c>
      <c r="AU6" s="2">
        <f>AT6/AO1</f>
        <v>69.960000000000008</v>
      </c>
    </row>
    <row r="7" spans="1:48" ht="25.5" x14ac:dyDescent="0.3">
      <c r="A7" s="254" t="s">
        <v>27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M7" s="2">
        <f>M6/L4</f>
        <v>20.354513046535853</v>
      </c>
      <c r="O7" s="2">
        <f>O6/N3</f>
        <v>41.948677515730971</v>
      </c>
      <c r="S7" s="8" t="s">
        <v>28</v>
      </c>
      <c r="U7" s="35">
        <f>X6-U6</f>
        <v>-5.3747100671509322</v>
      </c>
      <c r="AB7" s="36" t="s">
        <v>29</v>
      </c>
      <c r="AC7" s="37">
        <f>AC6/2+AD6</f>
        <v>192.5</v>
      </c>
      <c r="AF7" s="23">
        <f>AF6/1.2</f>
        <v>11</v>
      </c>
      <c r="AN7" s="8" t="s">
        <v>28</v>
      </c>
      <c r="AP7" s="35">
        <f>AS6-AP6</f>
        <v>-18.258013807995667</v>
      </c>
    </row>
    <row r="8" spans="1:48" ht="31.5" customHeight="1" x14ac:dyDescent="0.3">
      <c r="A8" s="255" t="s">
        <v>30</v>
      </c>
      <c r="B8" s="255"/>
      <c r="C8" s="255"/>
      <c r="D8" s="255"/>
      <c r="E8" s="255"/>
      <c r="F8" s="255"/>
      <c r="G8" s="255"/>
      <c r="H8" s="255"/>
      <c r="I8" s="255"/>
      <c r="J8" s="255"/>
      <c r="K8" s="255"/>
      <c r="U8" s="38"/>
      <c r="AB8" s="36"/>
      <c r="AC8" s="39"/>
      <c r="AD8" s="23">
        <f>AE6-AC7</f>
        <v>137.5</v>
      </c>
      <c r="AN8" s="8"/>
      <c r="AP8" s="38"/>
    </row>
    <row r="9" spans="1:48" ht="18.75" x14ac:dyDescent="0.3">
      <c r="H9" s="10"/>
      <c r="I9" s="10"/>
      <c r="T9" s="8" t="s">
        <v>31</v>
      </c>
      <c r="U9" s="40">
        <f>U7/U6</f>
        <v>-0.24458616522023466</v>
      </c>
      <c r="AG9" s="8"/>
    </row>
    <row r="10" spans="1:48" ht="28.5" customHeight="1" x14ac:dyDescent="0.25">
      <c r="A10" s="256" t="s">
        <v>32</v>
      </c>
      <c r="B10" s="257"/>
      <c r="C10" s="258"/>
      <c r="D10" s="262" t="s">
        <v>33</v>
      </c>
      <c r="E10" s="262"/>
      <c r="F10" s="263" t="s">
        <v>34</v>
      </c>
      <c r="G10" s="264"/>
      <c r="H10" s="263" t="s">
        <v>35</v>
      </c>
      <c r="I10" s="264"/>
      <c r="J10" s="263" t="s">
        <v>36</v>
      </c>
      <c r="K10" s="264"/>
      <c r="L10" s="41"/>
      <c r="M10" s="41"/>
      <c r="N10" s="41"/>
      <c r="O10" s="8"/>
      <c r="U10" s="41"/>
      <c r="V10" s="42"/>
      <c r="W10" s="41"/>
      <c r="X10" s="41"/>
      <c r="Y10" s="41"/>
      <c r="Z10" s="41"/>
      <c r="AA10" s="42"/>
      <c r="AC10" s="43"/>
      <c r="AD10" s="43"/>
      <c r="AE10" s="43"/>
      <c r="AF10" s="43"/>
      <c r="AG10" s="44"/>
      <c r="AI10" s="6" t="s">
        <v>37</v>
      </c>
      <c r="AJ10" s="2">
        <f>AC6/50</f>
        <v>5.5</v>
      </c>
    </row>
    <row r="11" spans="1:48" ht="28.5" customHeight="1" x14ac:dyDescent="0.25">
      <c r="A11" s="259"/>
      <c r="B11" s="260"/>
      <c r="C11" s="261"/>
      <c r="D11" s="45" t="s">
        <v>21</v>
      </c>
      <c r="E11" s="46" t="s">
        <v>22</v>
      </c>
      <c r="F11" s="47" t="s">
        <v>21</v>
      </c>
      <c r="G11" s="46" t="s">
        <v>22</v>
      </c>
      <c r="H11" s="47" t="s">
        <v>21</v>
      </c>
      <c r="I11" s="46" t="s">
        <v>22</v>
      </c>
      <c r="J11" s="47" t="s">
        <v>21</v>
      </c>
      <c r="K11" s="46" t="s">
        <v>22</v>
      </c>
      <c r="L11" s="41"/>
      <c r="M11" s="41"/>
      <c r="N11" s="41"/>
      <c r="O11" s="8"/>
      <c r="U11" s="41"/>
      <c r="V11" s="42"/>
      <c r="W11" s="41"/>
      <c r="X11" s="41"/>
      <c r="Y11" s="41"/>
      <c r="Z11" s="41"/>
      <c r="AA11" s="42"/>
      <c r="AC11" s="41"/>
      <c r="AD11" s="41"/>
      <c r="AE11" s="41"/>
      <c r="AF11" s="41"/>
      <c r="AG11" s="42"/>
      <c r="AI11" s="6"/>
    </row>
    <row r="12" spans="1:48" ht="27.75" customHeight="1" x14ac:dyDescent="0.25">
      <c r="A12" s="48" t="s">
        <v>38</v>
      </c>
      <c r="B12" s="49"/>
      <c r="C12" s="50"/>
      <c r="D12" s="51"/>
      <c r="E12" s="52"/>
      <c r="F12" s="53"/>
      <c r="G12" s="54"/>
      <c r="H12" s="53"/>
      <c r="I12" s="55"/>
      <c r="J12" s="56">
        <v>0.12</v>
      </c>
      <c r="K12" s="57">
        <f>J12*1.2</f>
        <v>0.14399999999999999</v>
      </c>
      <c r="L12" s="58"/>
      <c r="M12" s="58"/>
      <c r="N12" s="58"/>
      <c r="O12" s="59"/>
      <c r="U12" s="60">
        <f>U6/R2</f>
        <v>8.7898840268603728E-2</v>
      </c>
      <c r="V12" s="61">
        <f>U12*20</f>
        <v>1.7579768053720746</v>
      </c>
      <c r="W12" s="62"/>
      <c r="X12" s="62"/>
      <c r="Y12" s="62"/>
      <c r="Z12" s="62"/>
      <c r="AA12" s="62"/>
      <c r="AG12" s="18">
        <f>AC6/30</f>
        <v>9.1666666666666661</v>
      </c>
      <c r="AN12" s="63" t="s">
        <v>39</v>
      </c>
      <c r="AO12" s="64"/>
      <c r="AP12" s="65" t="s">
        <v>16</v>
      </c>
      <c r="AQ12" s="64"/>
      <c r="AR12" s="65" t="s">
        <v>6</v>
      </c>
      <c r="AS12" s="65" t="s">
        <v>40</v>
      </c>
      <c r="AT12" s="66" t="s">
        <v>41</v>
      </c>
    </row>
    <row r="13" spans="1:48" ht="15.75" x14ac:dyDescent="0.25">
      <c r="A13" s="48" t="s">
        <v>42</v>
      </c>
      <c r="B13" s="49"/>
      <c r="C13" s="50"/>
      <c r="D13" s="51"/>
      <c r="E13" s="52"/>
      <c r="F13" s="53"/>
      <c r="G13" s="55"/>
      <c r="H13" s="67">
        <f>56.9*1.1*1.3</f>
        <v>81.367000000000004</v>
      </c>
      <c r="I13" s="52">
        <f>H13*1.2</f>
        <v>97.6404</v>
      </c>
      <c r="J13" s="53"/>
      <c r="K13" s="68"/>
      <c r="L13" s="58"/>
      <c r="M13" s="58"/>
      <c r="N13" s="58"/>
      <c r="O13" s="69"/>
      <c r="U13" s="70"/>
      <c r="V13" s="61"/>
      <c r="W13" s="62"/>
      <c r="X13" s="62"/>
      <c r="Y13" s="62"/>
      <c r="Z13" s="62"/>
      <c r="AA13" s="62"/>
      <c r="AC13" s="2">
        <v>17.21</v>
      </c>
      <c r="AN13" s="71" t="s">
        <v>43</v>
      </c>
      <c r="AO13" s="59"/>
      <c r="AP13" s="59">
        <v>4</v>
      </c>
      <c r="AQ13" s="72" t="s">
        <v>44</v>
      </c>
      <c r="AR13" s="59">
        <v>7.92</v>
      </c>
      <c r="AS13" s="59">
        <f>AP13*AR13</f>
        <v>31.68</v>
      </c>
      <c r="AT13" s="73">
        <f>AS13/2</f>
        <v>15.84</v>
      </c>
    </row>
    <row r="14" spans="1:48" ht="15.75" x14ac:dyDescent="0.25">
      <c r="A14" s="48"/>
      <c r="B14" s="49" t="s">
        <v>45</v>
      </c>
      <c r="C14" s="50"/>
      <c r="D14" s="51"/>
      <c r="E14" s="74"/>
      <c r="F14" s="53"/>
      <c r="G14" s="55"/>
      <c r="H14" s="67">
        <f>40.5*1.1*1.3</f>
        <v>57.915000000000006</v>
      </c>
      <c r="I14" s="52">
        <f>H14*1.2</f>
        <v>69.498000000000005</v>
      </c>
      <c r="J14" s="53"/>
      <c r="K14" s="68"/>
      <c r="L14" s="58"/>
      <c r="M14" s="58"/>
      <c r="N14" s="58"/>
      <c r="O14" s="69"/>
      <c r="R14" s="59"/>
      <c r="S14" s="59"/>
      <c r="T14" s="59"/>
      <c r="U14" s="70"/>
      <c r="V14" s="61"/>
      <c r="W14" s="21"/>
      <c r="X14" s="21"/>
      <c r="Y14" s="21"/>
      <c r="Z14" s="21"/>
      <c r="AA14" s="21"/>
      <c r="AB14" s="75" t="s">
        <v>7</v>
      </c>
      <c r="AN14" s="76"/>
      <c r="AO14" s="72" t="s">
        <v>46</v>
      </c>
      <c r="AP14" s="59">
        <v>7</v>
      </c>
      <c r="AQ14" s="72" t="s">
        <v>44</v>
      </c>
      <c r="AR14" s="77">
        <f>H63</f>
        <v>6.33</v>
      </c>
      <c r="AS14" s="59">
        <f>AP14*AR14</f>
        <v>44.31</v>
      </c>
      <c r="AT14" s="73">
        <f>AS14/2</f>
        <v>22.155000000000001</v>
      </c>
    </row>
    <row r="15" spans="1:48" ht="57" customHeight="1" x14ac:dyDescent="0.25">
      <c r="A15" s="268" t="s">
        <v>47</v>
      </c>
      <c r="B15" s="269"/>
      <c r="C15" s="270"/>
      <c r="D15" s="78"/>
      <c r="E15" s="74"/>
      <c r="F15" s="79"/>
      <c r="G15" s="80"/>
      <c r="H15" s="79"/>
      <c r="I15" s="80"/>
      <c r="J15" s="79"/>
      <c r="K15" s="81"/>
      <c r="L15" s="58"/>
      <c r="M15" s="58"/>
      <c r="N15" s="58"/>
      <c r="O15" s="69"/>
      <c r="Q15" s="59"/>
      <c r="R15" s="59"/>
      <c r="S15" s="59"/>
      <c r="T15" s="59"/>
      <c r="U15" s="70"/>
      <c r="V15" s="70"/>
      <c r="W15" s="21"/>
      <c r="X15" s="21"/>
      <c r="Y15" s="21"/>
      <c r="Z15" s="21"/>
      <c r="AA15" s="21"/>
      <c r="AN15" s="76"/>
      <c r="AO15" s="82" t="s">
        <v>48</v>
      </c>
      <c r="AP15" s="83">
        <v>0.2</v>
      </c>
      <c r="AQ15" s="59"/>
      <c r="AR15" s="59"/>
      <c r="AS15" s="59">
        <f>AS14*AP15</f>
        <v>8.8620000000000001</v>
      </c>
      <c r="AT15" s="73">
        <f>AS15</f>
        <v>8.8620000000000001</v>
      </c>
    </row>
    <row r="16" spans="1:48" ht="16.5" customHeight="1" x14ac:dyDescent="0.25">
      <c r="A16" s="271" t="s">
        <v>49</v>
      </c>
      <c r="B16" s="272"/>
      <c r="C16" s="273"/>
      <c r="D16" s="84"/>
      <c r="E16" s="85"/>
      <c r="F16" s="56">
        <v>1</v>
      </c>
      <c r="G16" s="85">
        <f>F16*1.2</f>
        <v>1.2</v>
      </c>
      <c r="H16" s="56">
        <v>13</v>
      </c>
      <c r="I16" s="85">
        <f>H16*1.2</f>
        <v>15.6</v>
      </c>
      <c r="J16" s="86"/>
      <c r="K16" s="87"/>
      <c r="L16" s="58"/>
      <c r="M16" s="58"/>
      <c r="N16" s="58"/>
      <c r="O16" s="69"/>
      <c r="Q16" s="59"/>
      <c r="R16" s="59"/>
      <c r="S16" s="59"/>
      <c r="T16" s="88" t="s">
        <v>50</v>
      </c>
      <c r="V16" s="61"/>
      <c r="W16" s="21"/>
      <c r="X16" s="21"/>
      <c r="Y16" s="21"/>
      <c r="Z16" s="21"/>
      <c r="AA16" s="21"/>
      <c r="AN16" s="71" t="s">
        <v>51</v>
      </c>
      <c r="AO16" s="89"/>
      <c r="AP16" s="59">
        <v>2</v>
      </c>
      <c r="AQ16" s="72" t="s">
        <v>44</v>
      </c>
      <c r="AR16" s="90">
        <f>D60</f>
        <v>35</v>
      </c>
      <c r="AS16" s="59">
        <f>AP16*AR16</f>
        <v>70</v>
      </c>
      <c r="AT16" s="73">
        <f>AS16/2</f>
        <v>35</v>
      </c>
    </row>
    <row r="17" spans="1:46" ht="15.75" x14ac:dyDescent="0.25">
      <c r="A17" s="274" t="s">
        <v>52</v>
      </c>
      <c r="B17" s="275"/>
      <c r="C17" s="276"/>
      <c r="D17" s="91"/>
      <c r="E17" s="85"/>
      <c r="F17" s="67">
        <v>1</v>
      </c>
      <c r="G17" s="85">
        <f>F17*1.2</f>
        <v>1.2</v>
      </c>
      <c r="H17" s="67">
        <v>14</v>
      </c>
      <c r="I17" s="52">
        <f>H17*1.2</f>
        <v>16.8</v>
      </c>
      <c r="J17" s="53"/>
      <c r="K17" s="68"/>
      <c r="L17" s="58"/>
      <c r="M17" s="58"/>
      <c r="N17" s="58"/>
      <c r="O17" s="69"/>
      <c r="Q17" s="59"/>
      <c r="R17" s="59"/>
      <c r="S17" s="59"/>
      <c r="T17" s="59"/>
      <c r="U17" s="70"/>
      <c r="V17" s="61"/>
      <c r="W17" s="21"/>
      <c r="X17" s="21"/>
      <c r="Y17" s="21"/>
      <c r="Z17" s="21"/>
      <c r="AA17" s="21"/>
      <c r="AN17" s="76"/>
      <c r="AO17" s="82" t="s">
        <v>48</v>
      </c>
      <c r="AP17" s="83">
        <v>0.2</v>
      </c>
      <c r="AQ17" s="59"/>
      <c r="AR17" s="59"/>
      <c r="AS17" s="59">
        <f>AS16*AP17</f>
        <v>14</v>
      </c>
      <c r="AT17" s="73">
        <f>AS17</f>
        <v>14</v>
      </c>
    </row>
    <row r="18" spans="1:46" ht="28.5" customHeight="1" x14ac:dyDescent="0.25">
      <c r="A18" s="92" t="s">
        <v>53</v>
      </c>
      <c r="B18" s="58"/>
      <c r="C18" s="93"/>
      <c r="D18" s="94">
        <v>27</v>
      </c>
      <c r="E18" s="52">
        <f>D18*1.2</f>
        <v>32.4</v>
      </c>
      <c r="F18" s="67"/>
      <c r="G18" s="52"/>
      <c r="H18" s="53"/>
      <c r="I18" s="55"/>
      <c r="J18" s="53"/>
      <c r="K18" s="68"/>
      <c r="L18" s="58"/>
      <c r="M18" s="58"/>
      <c r="N18" s="58"/>
      <c r="O18" s="69"/>
      <c r="P18" s="69"/>
      <c r="Q18" s="277" t="s">
        <v>54</v>
      </c>
      <c r="R18" s="277"/>
      <c r="S18" s="277"/>
      <c r="T18" s="277"/>
      <c r="U18" s="95"/>
      <c r="V18" s="61"/>
      <c r="W18" s="21"/>
      <c r="X18" s="21"/>
      <c r="Y18" s="21"/>
      <c r="Z18" s="21"/>
      <c r="AA18" s="21"/>
      <c r="AB18" s="8"/>
      <c r="AD18" s="11" t="s">
        <v>55</v>
      </c>
      <c r="AN18" s="96" t="s">
        <v>56</v>
      </c>
      <c r="AO18" s="97"/>
      <c r="AP18" s="98"/>
      <c r="AQ18" s="98"/>
      <c r="AR18" s="98"/>
      <c r="AS18" s="99">
        <f>AS13+AS14+AS15+AS16+AS17</f>
        <v>168.852</v>
      </c>
      <c r="AT18" s="73"/>
    </row>
    <row r="19" spans="1:46" ht="15.75" x14ac:dyDescent="0.25">
      <c r="A19" s="100" t="s">
        <v>57</v>
      </c>
      <c r="B19" s="101"/>
      <c r="C19" s="102"/>
      <c r="D19" s="94">
        <v>22</v>
      </c>
      <c r="E19" s="85">
        <f t="shared" ref="E19:E61" si="0">D19*1.2</f>
        <v>26.4</v>
      </c>
      <c r="F19" s="56"/>
      <c r="G19" s="85"/>
      <c r="H19" s="86"/>
      <c r="I19" s="54"/>
      <c r="J19" s="86"/>
      <c r="K19" s="87"/>
      <c r="L19" s="58">
        <f>E32*2+70*G32</f>
        <v>186</v>
      </c>
      <c r="M19" s="58"/>
      <c r="N19" s="58"/>
      <c r="O19" s="69"/>
      <c r="P19" s="69"/>
      <c r="Q19" s="103"/>
      <c r="R19" s="70"/>
      <c r="S19" s="70"/>
      <c r="T19" s="70"/>
      <c r="U19" s="70"/>
      <c r="V19" s="61"/>
      <c r="W19" s="21"/>
      <c r="X19" s="21"/>
      <c r="Y19" s="21"/>
      <c r="Z19" s="21"/>
      <c r="AA19" s="21"/>
      <c r="AB19" s="8">
        <v>160</v>
      </c>
      <c r="AC19" s="8" t="s">
        <v>14</v>
      </c>
      <c r="AD19" s="18">
        <f>AB19*F26</f>
        <v>267.16800000000001</v>
      </c>
      <c r="AN19" s="104" t="s">
        <v>58</v>
      </c>
      <c r="AO19" s="105"/>
      <c r="AP19" s="105"/>
      <c r="AQ19" s="105"/>
      <c r="AR19" s="105"/>
      <c r="AS19" s="106"/>
      <c r="AT19" s="107">
        <f>AT13+AT14+AT15+AT16+AT17</f>
        <v>95.856999999999999</v>
      </c>
    </row>
    <row r="20" spans="1:46" ht="15.75" hidden="1" x14ac:dyDescent="0.25">
      <c r="A20" s="92"/>
      <c r="B20" s="58"/>
      <c r="C20" s="93"/>
      <c r="D20" s="108">
        <f t="shared" ref="D20:D25" si="1">ROUND(K20/1000,0)*1000</f>
        <v>0</v>
      </c>
      <c r="E20" s="52">
        <f t="shared" si="0"/>
        <v>0</v>
      </c>
      <c r="F20" s="109"/>
      <c r="G20" s="110"/>
      <c r="H20" s="79"/>
      <c r="I20" s="80"/>
      <c r="J20" s="79"/>
      <c r="K20" s="81"/>
      <c r="L20" s="58"/>
      <c r="M20" s="58"/>
      <c r="N20" s="58"/>
      <c r="O20" s="69"/>
      <c r="P20" s="69"/>
      <c r="Q20" s="69"/>
      <c r="R20" s="111"/>
      <c r="S20" s="111"/>
      <c r="T20" s="111"/>
      <c r="U20" s="111"/>
      <c r="V20" s="112"/>
      <c r="W20" s="18"/>
      <c r="X20" s="21"/>
      <c r="Y20" s="21"/>
      <c r="Z20" s="21"/>
      <c r="AA20" s="21"/>
      <c r="AD20" s="18"/>
    </row>
    <row r="21" spans="1:46" ht="15.75" hidden="1" x14ac:dyDescent="0.25">
      <c r="A21" s="92"/>
      <c r="B21" s="58"/>
      <c r="C21" s="93"/>
      <c r="D21" s="108">
        <f t="shared" si="1"/>
        <v>0</v>
      </c>
      <c r="E21" s="52">
        <f t="shared" si="0"/>
        <v>0</v>
      </c>
      <c r="F21" s="109"/>
      <c r="G21" s="110"/>
      <c r="H21" s="79"/>
      <c r="I21" s="80"/>
      <c r="J21" s="79"/>
      <c r="K21" s="81"/>
      <c r="L21" s="58"/>
      <c r="M21" s="58"/>
      <c r="N21" s="58"/>
      <c r="O21" s="69"/>
      <c r="P21" s="69"/>
      <c r="Q21" s="69"/>
      <c r="R21" s="111"/>
      <c r="S21" s="111"/>
      <c r="T21" s="111"/>
      <c r="U21" s="111"/>
      <c r="V21" s="112"/>
      <c r="W21" s="21"/>
      <c r="X21" s="21"/>
      <c r="Y21" s="21"/>
      <c r="Z21" s="21"/>
      <c r="AA21" s="21"/>
      <c r="AD21" s="18"/>
    </row>
    <row r="22" spans="1:46" ht="15.75" hidden="1" x14ac:dyDescent="0.25">
      <c r="A22" s="92"/>
      <c r="B22" s="58"/>
      <c r="C22" s="93"/>
      <c r="D22" s="108">
        <f t="shared" si="1"/>
        <v>0</v>
      </c>
      <c r="E22" s="52">
        <f t="shared" si="0"/>
        <v>0</v>
      </c>
      <c r="F22" s="109"/>
      <c r="G22" s="110"/>
      <c r="H22" s="79"/>
      <c r="I22" s="80"/>
      <c r="J22" s="79"/>
      <c r="K22" s="81"/>
      <c r="L22" s="58"/>
      <c r="M22" s="58"/>
      <c r="N22" s="58"/>
      <c r="O22" s="69"/>
      <c r="P22" s="69"/>
      <c r="Q22" s="69"/>
      <c r="R22" s="111"/>
      <c r="S22" s="111"/>
      <c r="T22" s="111"/>
      <c r="U22" s="113"/>
      <c r="V22" s="114"/>
      <c r="W22" s="21"/>
      <c r="X22" s="21"/>
      <c r="Y22" s="21"/>
      <c r="Z22" s="21"/>
      <c r="AA22" s="21"/>
      <c r="AD22" s="18"/>
    </row>
    <row r="23" spans="1:46" ht="15.75" hidden="1" x14ac:dyDescent="0.25">
      <c r="A23" s="92"/>
      <c r="B23" s="58"/>
      <c r="C23" s="93"/>
      <c r="D23" s="108">
        <f t="shared" si="1"/>
        <v>0</v>
      </c>
      <c r="E23" s="52">
        <f t="shared" si="0"/>
        <v>0</v>
      </c>
      <c r="F23" s="109"/>
      <c r="G23" s="110"/>
      <c r="H23" s="79"/>
      <c r="I23" s="80"/>
      <c r="J23" s="79"/>
      <c r="K23" s="81"/>
      <c r="L23" s="58"/>
      <c r="M23" s="58"/>
      <c r="N23" s="58"/>
      <c r="O23" s="69"/>
      <c r="P23" s="69"/>
      <c r="R23" s="111"/>
      <c r="S23" s="111"/>
      <c r="T23" s="111"/>
      <c r="U23" s="111"/>
      <c r="V23" s="112"/>
      <c r="W23" s="21"/>
      <c r="X23" s="21"/>
      <c r="Y23" s="21"/>
      <c r="Z23" s="21"/>
      <c r="AA23" s="21"/>
      <c r="AD23" s="18"/>
    </row>
    <row r="24" spans="1:46" ht="15.75" hidden="1" x14ac:dyDescent="0.25">
      <c r="A24" s="92"/>
      <c r="B24" s="58"/>
      <c r="C24" s="93"/>
      <c r="D24" s="108">
        <f t="shared" si="1"/>
        <v>0</v>
      </c>
      <c r="E24" s="52">
        <f t="shared" si="0"/>
        <v>0</v>
      </c>
      <c r="F24" s="109"/>
      <c r="G24" s="110"/>
      <c r="H24" s="79"/>
      <c r="I24" s="80"/>
      <c r="J24" s="79"/>
      <c r="K24" s="81"/>
      <c r="L24" s="58"/>
      <c r="M24" s="58"/>
      <c r="N24" s="58"/>
      <c r="O24" s="69"/>
      <c r="P24" s="69"/>
      <c r="Q24" s="69"/>
      <c r="R24" s="111"/>
      <c r="S24" s="111"/>
      <c r="T24" s="111"/>
      <c r="U24" s="111"/>
      <c r="V24" s="112"/>
      <c r="W24" s="21"/>
      <c r="X24" s="21"/>
      <c r="Y24" s="21"/>
      <c r="Z24" s="21"/>
      <c r="AA24" s="21"/>
      <c r="AD24" s="18"/>
    </row>
    <row r="25" spans="1:46" ht="15.75" hidden="1" x14ac:dyDescent="0.25">
      <c r="A25" s="92"/>
      <c r="B25" s="58"/>
      <c r="C25" s="93"/>
      <c r="D25" s="108">
        <f t="shared" si="1"/>
        <v>0</v>
      </c>
      <c r="E25" s="74">
        <f t="shared" si="0"/>
        <v>0</v>
      </c>
      <c r="F25" s="109"/>
      <c r="G25" s="110"/>
      <c r="H25" s="79"/>
      <c r="I25" s="80"/>
      <c r="J25" s="79"/>
      <c r="K25" s="81"/>
      <c r="L25" s="58"/>
      <c r="M25" s="58"/>
      <c r="N25" s="58"/>
      <c r="O25" s="69"/>
      <c r="P25" s="69"/>
      <c r="Q25" s="69"/>
      <c r="R25" s="111"/>
      <c r="S25" s="111"/>
      <c r="T25" s="111"/>
      <c r="U25" s="111"/>
      <c r="V25" s="112"/>
      <c r="W25" s="21"/>
      <c r="X25" s="21"/>
      <c r="Y25" s="21"/>
      <c r="Z25" s="21"/>
      <c r="AA25" s="21"/>
      <c r="AD25" s="18"/>
    </row>
    <row r="26" spans="1:46" ht="36" customHeight="1" x14ac:dyDescent="0.25">
      <c r="A26" s="92" t="s">
        <v>59</v>
      </c>
      <c r="B26" s="58"/>
      <c r="C26" s="93"/>
      <c r="D26" s="94">
        <v>25</v>
      </c>
      <c r="E26" s="52">
        <f t="shared" si="0"/>
        <v>30</v>
      </c>
      <c r="F26" s="67">
        <f>1.2*1.15*1.1*1.1</f>
        <v>1.6698000000000002</v>
      </c>
      <c r="G26" s="52">
        <f>F26*1.2</f>
        <v>2.0037600000000002</v>
      </c>
      <c r="H26" s="53"/>
      <c r="I26" s="55"/>
      <c r="J26" s="53"/>
      <c r="K26" s="68"/>
      <c r="L26" s="58">
        <f>3.5*36</f>
        <v>126</v>
      </c>
      <c r="N26" s="58">
        <f>(E33*5)+(G33*150)</f>
        <v>564</v>
      </c>
      <c r="O26" s="69"/>
      <c r="Q26" s="278" t="s">
        <v>60</v>
      </c>
      <c r="R26" s="279"/>
      <c r="S26" s="115"/>
      <c r="T26" s="116"/>
      <c r="U26" s="247" t="s">
        <v>61</v>
      </c>
      <c r="V26" s="248"/>
      <c r="W26" s="18"/>
      <c r="X26" s="21"/>
      <c r="Y26" s="21"/>
      <c r="Z26" s="21"/>
      <c r="AA26" s="21"/>
      <c r="AB26" s="2">
        <v>34.43</v>
      </c>
      <c r="AC26" s="8" t="s">
        <v>16</v>
      </c>
      <c r="AD26" s="18">
        <f>AB26*H27</f>
        <v>55.088000000000001</v>
      </c>
    </row>
    <row r="27" spans="1:46" ht="46.5" customHeight="1" x14ac:dyDescent="0.25">
      <c r="A27" s="92"/>
      <c r="B27" s="58" t="s">
        <v>62</v>
      </c>
      <c r="C27" s="93"/>
      <c r="D27" s="94"/>
      <c r="E27" s="52"/>
      <c r="F27" s="67"/>
      <c r="G27" s="52"/>
      <c r="H27" s="67">
        <v>1.6</v>
      </c>
      <c r="I27" s="52">
        <f>H27*1.2</f>
        <v>1.92</v>
      </c>
      <c r="J27" s="53"/>
      <c r="K27" s="68"/>
      <c r="L27" s="58">
        <f>L19+L26</f>
        <v>312</v>
      </c>
      <c r="M27" s="58"/>
      <c r="N27" s="58"/>
      <c r="O27" s="69"/>
      <c r="Q27" s="251">
        <v>60</v>
      </c>
      <c r="R27" s="252"/>
      <c r="S27" s="117" t="s">
        <v>63</v>
      </c>
      <c r="T27" s="117" t="s">
        <v>64</v>
      </c>
      <c r="U27" s="249"/>
      <c r="V27" s="250"/>
      <c r="W27" s="21"/>
      <c r="X27" s="21"/>
      <c r="Y27" s="21"/>
      <c r="Z27" s="21"/>
      <c r="AA27" s="21"/>
      <c r="AB27" s="2">
        <v>34.43</v>
      </c>
      <c r="AC27" s="8" t="s">
        <v>16</v>
      </c>
      <c r="AD27" s="18">
        <f>AB27*H28</f>
        <v>55.088000000000001</v>
      </c>
      <c r="AG27" s="29" t="s">
        <v>65</v>
      </c>
      <c r="AH27" s="8" t="s">
        <v>24</v>
      </c>
    </row>
    <row r="28" spans="1:46" ht="21.75" customHeight="1" x14ac:dyDescent="0.25">
      <c r="A28" s="100"/>
      <c r="B28" s="101" t="s">
        <v>66</v>
      </c>
      <c r="C28" s="102"/>
      <c r="D28" s="94"/>
      <c r="E28" s="52"/>
      <c r="F28" s="67"/>
      <c r="G28" s="52"/>
      <c r="H28" s="67">
        <v>1.6</v>
      </c>
      <c r="I28" s="52">
        <f>H28*1.2</f>
        <v>1.92</v>
      </c>
      <c r="J28" s="53"/>
      <c r="K28" s="68"/>
      <c r="L28" s="58"/>
      <c r="M28" s="58"/>
      <c r="N28" s="58"/>
      <c r="O28" s="69"/>
      <c r="P28" s="8"/>
      <c r="Q28" s="118" t="s">
        <v>67</v>
      </c>
      <c r="R28" s="119" t="s">
        <v>68</v>
      </c>
      <c r="S28" s="120"/>
      <c r="T28" s="120"/>
      <c r="U28" s="121" t="s">
        <v>21</v>
      </c>
      <c r="V28" s="122" t="s">
        <v>22</v>
      </c>
      <c r="W28" s="21"/>
      <c r="X28" s="21"/>
      <c r="Y28" s="21"/>
      <c r="Z28" s="21"/>
      <c r="AA28" s="21"/>
      <c r="AB28" s="2">
        <v>8</v>
      </c>
      <c r="AC28" s="8" t="s">
        <v>69</v>
      </c>
      <c r="AD28" s="18">
        <f>AB28*D26</f>
        <v>200</v>
      </c>
      <c r="AG28" s="29" t="s">
        <v>22</v>
      </c>
    </row>
    <row r="29" spans="1:46" ht="15.75" x14ac:dyDescent="0.25">
      <c r="A29" s="92" t="s">
        <v>70</v>
      </c>
      <c r="B29" s="58"/>
      <c r="C29" s="93"/>
      <c r="D29" s="94">
        <v>27</v>
      </c>
      <c r="E29" s="52">
        <f t="shared" si="0"/>
        <v>32.4</v>
      </c>
      <c r="F29" s="67">
        <v>1.7</v>
      </c>
      <c r="G29" s="52">
        <f>F29*1.2</f>
        <v>2.04</v>
      </c>
      <c r="H29" s="53"/>
      <c r="I29" s="55"/>
      <c r="J29" s="53"/>
      <c r="K29" s="68"/>
      <c r="L29" s="123">
        <f>L33/28</f>
        <v>14.714285714285714</v>
      </c>
      <c r="M29" s="124"/>
      <c r="N29" s="58"/>
      <c r="O29" s="69"/>
      <c r="P29" s="69"/>
      <c r="Q29" s="72" t="s">
        <v>71</v>
      </c>
      <c r="R29" s="2">
        <v>2.5</v>
      </c>
      <c r="S29" s="125">
        <f>V5*R29+Q27*V3</f>
        <v>145.5</v>
      </c>
      <c r="T29" s="126">
        <f>S29*1.2</f>
        <v>174.6</v>
      </c>
      <c r="U29" s="18">
        <f>S29/$Q$27</f>
        <v>2.4249999999999998</v>
      </c>
      <c r="V29" s="127">
        <f>T29/$Q$27</f>
        <v>2.9099999999999997</v>
      </c>
      <c r="W29" s="18"/>
      <c r="X29" s="21"/>
      <c r="Y29" s="21"/>
      <c r="Z29" s="21"/>
      <c r="AA29" s="21"/>
      <c r="AB29" s="128"/>
      <c r="AC29" s="128"/>
      <c r="AD29" s="129">
        <f>SUM(AD19:AD28)</f>
        <v>577.34400000000005</v>
      </c>
      <c r="AE29" s="130">
        <v>0.2</v>
      </c>
      <c r="AF29" s="35">
        <f>AD29*AE29</f>
        <v>115.46880000000002</v>
      </c>
      <c r="AG29" s="131">
        <f>AD29+AF29</f>
        <v>692.81280000000004</v>
      </c>
      <c r="AH29" s="18">
        <f>AG29/AB27</f>
        <v>20.1223584083648</v>
      </c>
      <c r="AI29" s="18">
        <f>AG29/10000</f>
        <v>6.9281280000000001E-2</v>
      </c>
    </row>
    <row r="30" spans="1:46" ht="15.75" x14ac:dyDescent="0.25">
      <c r="A30" s="92"/>
      <c r="B30" s="58" t="s">
        <v>62</v>
      </c>
      <c r="C30" s="93"/>
      <c r="D30" s="94"/>
      <c r="E30" s="52"/>
      <c r="F30" s="67"/>
      <c r="G30" s="52"/>
      <c r="H30" s="67">
        <v>1.3</v>
      </c>
      <c r="I30" s="52">
        <f>H30*1.2</f>
        <v>1.56</v>
      </c>
      <c r="J30" s="53"/>
      <c r="K30" s="68"/>
      <c r="L30" s="123" t="s">
        <v>72</v>
      </c>
      <c r="M30" s="123"/>
      <c r="N30" s="58"/>
      <c r="O30" s="69"/>
      <c r="P30" s="69"/>
      <c r="Q30" s="69" t="s">
        <v>73</v>
      </c>
      <c r="R30" s="70">
        <v>4</v>
      </c>
      <c r="S30" s="132">
        <f>R30*V5+V3*Q27</f>
        <v>186</v>
      </c>
      <c r="T30" s="133">
        <f>S30*1.2</f>
        <v>223.2</v>
      </c>
      <c r="U30" s="18">
        <f>S30/$Q$27</f>
        <v>3.1</v>
      </c>
      <c r="V30" s="127">
        <f>T30/$Q$27</f>
        <v>3.7199999999999998</v>
      </c>
      <c r="W30" s="21"/>
      <c r="X30" s="21"/>
      <c r="Y30" s="21"/>
      <c r="Z30" s="21"/>
      <c r="AA30" s="21"/>
    </row>
    <row r="31" spans="1:46" ht="12.75" customHeight="1" x14ac:dyDescent="0.25">
      <c r="A31" s="100"/>
      <c r="B31" s="101" t="s">
        <v>66</v>
      </c>
      <c r="C31" s="102"/>
      <c r="D31" s="94"/>
      <c r="E31" s="52"/>
      <c r="F31" s="67"/>
      <c r="G31" s="52"/>
      <c r="H31" s="67">
        <v>1.3</v>
      </c>
      <c r="I31" s="52">
        <f>H31*1.2</f>
        <v>1.56</v>
      </c>
      <c r="J31" s="53"/>
      <c r="K31" s="68"/>
      <c r="L31" s="123">
        <f>(140*F33+D33*4)/28</f>
        <v>14.714285714285714</v>
      </c>
      <c r="M31" s="123"/>
      <c r="N31" s="58"/>
      <c r="O31" s="69"/>
      <c r="P31" s="69"/>
      <c r="Q31" s="278" t="s">
        <v>60</v>
      </c>
      <c r="R31" s="280"/>
      <c r="S31" s="115"/>
      <c r="T31" s="116"/>
      <c r="U31" s="281" t="s">
        <v>61</v>
      </c>
      <c r="V31" s="282"/>
      <c r="W31" s="21"/>
      <c r="X31" s="21"/>
      <c r="Y31" s="21"/>
      <c r="Z31" s="21"/>
      <c r="AA31" s="21"/>
      <c r="AG31" s="134"/>
      <c r="AH31" s="134"/>
    </row>
    <row r="32" spans="1:46" ht="20.25" customHeight="1" x14ac:dyDescent="0.25">
      <c r="A32" s="48" t="s">
        <v>74</v>
      </c>
      <c r="B32" s="135"/>
      <c r="C32" s="136"/>
      <c r="D32" s="137">
        <v>25</v>
      </c>
      <c r="E32" s="74">
        <f t="shared" si="0"/>
        <v>30</v>
      </c>
      <c r="F32" s="67">
        <v>1.5</v>
      </c>
      <c r="G32" s="52">
        <f>F32*1.2</f>
        <v>1.7999999999999998</v>
      </c>
      <c r="H32" s="138"/>
      <c r="I32" s="139"/>
      <c r="J32" s="138"/>
      <c r="K32" s="140"/>
      <c r="L32" s="141">
        <f>E29*2+G29*30*2+I30*28+I31*28</f>
        <v>274.56</v>
      </c>
      <c r="M32" s="58">
        <f>L32/28</f>
        <v>9.805714285714286</v>
      </c>
      <c r="N32" s="58">
        <f>M32/1.2</f>
        <v>8.1714285714285726</v>
      </c>
      <c r="O32" s="69"/>
      <c r="P32" s="69"/>
      <c r="Q32" s="251">
        <v>40</v>
      </c>
      <c r="R32" s="283"/>
      <c r="S32" s="142" t="s">
        <v>63</v>
      </c>
      <c r="T32" s="142" t="s">
        <v>64</v>
      </c>
      <c r="U32" s="121" t="s">
        <v>21</v>
      </c>
      <c r="V32" s="122" t="s">
        <v>22</v>
      </c>
      <c r="W32" s="21"/>
      <c r="X32" s="21"/>
      <c r="Y32" s="21"/>
      <c r="Z32" s="21"/>
      <c r="AA32" s="21"/>
      <c r="AC32" s="143" t="s">
        <v>75</v>
      </c>
      <c r="AD32" s="113"/>
      <c r="AE32" s="144">
        <f>AD29/2</f>
        <v>288.67200000000003</v>
      </c>
      <c r="AF32" s="144">
        <f>AF29</f>
        <v>115.46880000000002</v>
      </c>
      <c r="AG32" s="145">
        <f>AE32+AF32</f>
        <v>404.14080000000001</v>
      </c>
      <c r="AN32" s="2">
        <v>25.5</v>
      </c>
      <c r="AO32" s="2">
        <v>7</v>
      </c>
      <c r="AP32" s="2">
        <v>62.73</v>
      </c>
      <c r="AQ32" s="2">
        <f>AO32*AP32</f>
        <v>439.10999999999996</v>
      </c>
    </row>
    <row r="33" spans="1:43" ht="38.25" customHeight="1" x14ac:dyDescent="0.3">
      <c r="A33" s="284" t="s">
        <v>76</v>
      </c>
      <c r="B33" s="285"/>
      <c r="C33" s="286"/>
      <c r="D33" s="137">
        <v>40</v>
      </c>
      <c r="E33" s="52">
        <f>D33*1.2</f>
        <v>48</v>
      </c>
      <c r="F33" s="67">
        <v>1.8</v>
      </c>
      <c r="G33" s="52">
        <f>F33*1.2</f>
        <v>2.16</v>
      </c>
      <c r="H33" s="138"/>
      <c r="I33" s="139"/>
      <c r="J33" s="138"/>
      <c r="K33" s="140"/>
      <c r="L33" s="146">
        <f>4*D33+F33*140</f>
        <v>412</v>
      </c>
      <c r="M33" s="58">
        <f>4*28</f>
        <v>112</v>
      </c>
      <c r="N33" s="58">
        <f>L33+M33</f>
        <v>524</v>
      </c>
      <c r="O33" s="69">
        <f>L33/28</f>
        <v>14.714285714285714</v>
      </c>
      <c r="P33" s="69"/>
      <c r="Q33" s="147"/>
      <c r="R33" s="147"/>
      <c r="S33" s="148"/>
      <c r="T33" s="148"/>
      <c r="U33" s="72"/>
      <c r="V33" s="61"/>
      <c r="W33" s="21"/>
      <c r="X33" s="21"/>
      <c r="Y33" s="21"/>
      <c r="Z33" s="21"/>
      <c r="AA33" s="21"/>
      <c r="AC33" s="143"/>
      <c r="AD33" s="113"/>
      <c r="AE33" s="144"/>
      <c r="AF33" s="144"/>
      <c r="AG33" s="149"/>
    </row>
    <row r="34" spans="1:43" ht="15.75" x14ac:dyDescent="0.25">
      <c r="A34" s="76"/>
      <c r="B34" s="59"/>
      <c r="C34" s="73"/>
      <c r="D34" s="150"/>
      <c r="E34" s="110"/>
      <c r="F34" s="151"/>
      <c r="G34" s="152"/>
      <c r="H34" s="153"/>
      <c r="I34" s="154"/>
      <c r="J34" s="153"/>
      <c r="K34" s="155"/>
      <c r="L34" s="156">
        <f>L33/2</f>
        <v>206</v>
      </c>
      <c r="M34" s="157">
        <f>L33*20%</f>
        <v>82.4</v>
      </c>
      <c r="N34" s="158">
        <f>L34+M34</f>
        <v>288.39999999999998</v>
      </c>
      <c r="O34" s="69" t="s">
        <v>77</v>
      </c>
      <c r="P34" s="69"/>
      <c r="Q34" s="72" t="s">
        <v>71</v>
      </c>
      <c r="R34" s="2">
        <v>2.5</v>
      </c>
      <c r="S34" s="125">
        <f>R34*V5+V3*Q32</f>
        <v>119.5</v>
      </c>
      <c r="T34" s="126">
        <f>S34*1.2</f>
        <v>143.4</v>
      </c>
      <c r="U34" s="18">
        <f>S34/$Q$32</f>
        <v>2.9874999999999998</v>
      </c>
      <c r="V34" s="127">
        <f>T34/$Q$32</f>
        <v>3.585</v>
      </c>
      <c r="W34" s="21"/>
      <c r="X34" s="21"/>
      <c r="Y34" s="21"/>
      <c r="Z34" s="21"/>
      <c r="AA34" s="159"/>
      <c r="AB34" s="160" t="s">
        <v>7</v>
      </c>
      <c r="AC34" s="64"/>
      <c r="AD34" s="64"/>
      <c r="AE34" s="64"/>
      <c r="AF34" s="64"/>
      <c r="AG34" s="64"/>
      <c r="AH34" s="161"/>
      <c r="AO34" s="2">
        <f>AN32-AO32</f>
        <v>18.5</v>
      </c>
      <c r="AP34" s="2">
        <v>52.27</v>
      </c>
      <c r="AQ34" s="18">
        <f>AO34*AP34</f>
        <v>966.995</v>
      </c>
    </row>
    <row r="35" spans="1:43" ht="15.75" x14ac:dyDescent="0.25">
      <c r="A35" s="100" t="s">
        <v>78</v>
      </c>
      <c r="B35" s="101"/>
      <c r="C35" s="102"/>
      <c r="D35" s="162">
        <v>35</v>
      </c>
      <c r="E35" s="85">
        <f t="shared" si="0"/>
        <v>42</v>
      </c>
      <c r="F35" s="56"/>
      <c r="G35" s="85"/>
      <c r="H35" s="86"/>
      <c r="I35" s="54"/>
      <c r="J35" s="86"/>
      <c r="K35" s="87"/>
      <c r="L35" s="163">
        <f>L33/2.6</f>
        <v>158.46153846153845</v>
      </c>
      <c r="M35" s="58">
        <f>L33/25</f>
        <v>16.48</v>
      </c>
      <c r="N35" s="58"/>
      <c r="O35" s="69"/>
      <c r="P35" s="69"/>
      <c r="Q35" s="69" t="s">
        <v>73</v>
      </c>
      <c r="R35" s="70">
        <v>4</v>
      </c>
      <c r="S35" s="132">
        <f>V5*R35+Q32*V3</f>
        <v>160</v>
      </c>
      <c r="T35" s="133">
        <f>S35*1.2</f>
        <v>192</v>
      </c>
      <c r="U35" s="18">
        <f>S35/$Q$32</f>
        <v>4</v>
      </c>
      <c r="V35" s="127">
        <f>T35/$Q$32</f>
        <v>4.8</v>
      </c>
      <c r="W35" s="21"/>
      <c r="X35" s="21"/>
      <c r="Y35" s="21"/>
      <c r="Z35" s="21"/>
      <c r="AA35" s="164"/>
      <c r="AB35" s="165" t="s">
        <v>79</v>
      </c>
      <c r="AC35" s="136"/>
      <c r="AD35" s="41" t="s">
        <v>80</v>
      </c>
      <c r="AE35" s="59"/>
      <c r="AF35" s="59"/>
      <c r="AG35" s="59"/>
      <c r="AH35" s="73"/>
      <c r="AQ35" s="2">
        <f>SUM(AQ32:AQ34)</f>
        <v>1406.105</v>
      </c>
    </row>
    <row r="36" spans="1:43" ht="28.5" customHeight="1" x14ac:dyDescent="0.25">
      <c r="A36" s="284" t="s">
        <v>81</v>
      </c>
      <c r="B36" s="285"/>
      <c r="C36" s="286"/>
      <c r="D36" s="162">
        <v>45</v>
      </c>
      <c r="E36" s="85">
        <f t="shared" si="0"/>
        <v>54</v>
      </c>
      <c r="F36" s="56"/>
      <c r="G36" s="85"/>
      <c r="H36" s="86"/>
      <c r="I36" s="54"/>
      <c r="J36" s="86"/>
      <c r="K36" s="87"/>
      <c r="L36" s="166">
        <f>L33/30*1.2</f>
        <v>16.479999999999997</v>
      </c>
      <c r="M36" s="58"/>
      <c r="N36" s="58"/>
      <c r="O36" s="69"/>
      <c r="P36" s="69"/>
      <c r="Q36" s="69"/>
      <c r="R36" s="70"/>
      <c r="S36" s="132"/>
      <c r="T36" s="133"/>
      <c r="U36" s="18"/>
      <c r="V36" s="127"/>
      <c r="W36" s="21"/>
      <c r="X36" s="21"/>
      <c r="Y36" s="21"/>
      <c r="Z36" s="21"/>
      <c r="AA36" s="164"/>
      <c r="AB36" s="88"/>
      <c r="AC36" s="59"/>
      <c r="AD36" s="41"/>
      <c r="AE36" s="59"/>
      <c r="AF36" s="59"/>
      <c r="AG36" s="59"/>
      <c r="AH36" s="73"/>
    </row>
    <row r="37" spans="1:43" ht="15.75" x14ac:dyDescent="0.25">
      <c r="A37" s="48" t="s">
        <v>82</v>
      </c>
      <c r="B37" s="49"/>
      <c r="C37" s="50"/>
      <c r="D37" s="137">
        <f>6.2*1.1*1.1*1.3</f>
        <v>9.7526000000000028</v>
      </c>
      <c r="E37" s="85">
        <f>D37*1.2</f>
        <v>11.703120000000004</v>
      </c>
      <c r="F37" s="67">
        <f>0.3*1.1*1.1*1.3</f>
        <v>0.4719000000000001</v>
      </c>
      <c r="G37" s="52">
        <f>F37*1.2</f>
        <v>0.56628000000000012</v>
      </c>
      <c r="H37" s="53"/>
      <c r="I37" s="55"/>
      <c r="J37" s="53"/>
      <c r="K37" s="68"/>
      <c r="L37" s="163"/>
      <c r="M37" s="58"/>
      <c r="N37" s="58">
        <f>27*1.2*30+L33</f>
        <v>1384</v>
      </c>
      <c r="O37" s="69"/>
      <c r="P37" s="69"/>
      <c r="Q37" s="103"/>
      <c r="R37" s="70"/>
      <c r="S37" s="70"/>
      <c r="T37" s="70"/>
      <c r="U37" s="70"/>
      <c r="V37" s="61"/>
      <c r="W37" s="21"/>
      <c r="X37" s="21"/>
      <c r="Y37" s="21"/>
      <c r="Z37" s="21"/>
      <c r="AA37" s="167" t="s">
        <v>14</v>
      </c>
      <c r="AB37" s="59">
        <v>70</v>
      </c>
      <c r="AC37" s="59"/>
      <c r="AD37" s="90">
        <f>AB37*F32</f>
        <v>105</v>
      </c>
      <c r="AE37" s="41" t="s">
        <v>83</v>
      </c>
      <c r="AF37" s="59"/>
      <c r="AG37" s="59"/>
      <c r="AH37" s="73"/>
    </row>
    <row r="38" spans="1:43" ht="15.75" x14ac:dyDescent="0.25">
      <c r="A38" s="48" t="s">
        <v>84</v>
      </c>
      <c r="B38" s="49"/>
      <c r="C38" s="50"/>
      <c r="D38" s="137">
        <f>8*1.1*1.1*1.3</f>
        <v>12.584000000000003</v>
      </c>
      <c r="E38" s="52">
        <f t="shared" si="0"/>
        <v>15.100800000000003</v>
      </c>
      <c r="F38" s="67">
        <f>0.6*1.1*1.1*1.3</f>
        <v>0.94380000000000019</v>
      </c>
      <c r="G38" s="52">
        <f t="shared" ref="G38:G46" si="2">F38*1.2</f>
        <v>1.1325600000000002</v>
      </c>
      <c r="H38" s="53"/>
      <c r="I38" s="55"/>
      <c r="J38" s="53"/>
      <c r="K38" s="68"/>
      <c r="L38" s="163">
        <f>L33/26</f>
        <v>15.846153846153847</v>
      </c>
      <c r="M38" s="58"/>
      <c r="N38" s="58"/>
      <c r="O38" s="69"/>
      <c r="P38" s="69"/>
      <c r="Q38" s="103"/>
      <c r="R38" s="70"/>
      <c r="S38" s="70"/>
      <c r="T38" s="70"/>
      <c r="U38" s="70"/>
      <c r="V38" s="61"/>
      <c r="W38" s="21"/>
      <c r="X38" s="21"/>
      <c r="Y38" s="21"/>
      <c r="Z38" s="21"/>
      <c r="AA38" s="167" t="s">
        <v>20</v>
      </c>
      <c r="AB38" s="59">
        <v>2</v>
      </c>
      <c r="AC38" s="59"/>
      <c r="AD38" s="90">
        <f>AB38*D32</f>
        <v>50</v>
      </c>
      <c r="AE38" s="59"/>
      <c r="AF38" s="59"/>
      <c r="AG38" s="59"/>
      <c r="AH38" s="73"/>
    </row>
    <row r="39" spans="1:43" ht="18" x14ac:dyDescent="0.25">
      <c r="A39" s="48" t="s">
        <v>85</v>
      </c>
      <c r="B39" s="49"/>
      <c r="C39" s="50"/>
      <c r="D39" s="137">
        <f>6.2*1.1*1.1*1.3</f>
        <v>9.7526000000000028</v>
      </c>
      <c r="E39" s="52">
        <f t="shared" si="0"/>
        <v>11.703120000000004</v>
      </c>
      <c r="F39" s="67">
        <f>0.29*1.1*1.1*1.3</f>
        <v>0.45617000000000008</v>
      </c>
      <c r="G39" s="52">
        <f t="shared" si="2"/>
        <v>0.54740400000000011</v>
      </c>
      <c r="H39" s="53"/>
      <c r="I39" s="55"/>
      <c r="J39" s="53"/>
      <c r="K39" s="68"/>
      <c r="L39" s="163"/>
      <c r="M39" s="58">
        <f>E39*2+G39*60</f>
        <v>56.25048000000001</v>
      </c>
      <c r="N39" s="58"/>
      <c r="O39" s="69"/>
      <c r="P39" s="69"/>
      <c r="Q39" s="103"/>
      <c r="R39" s="70" t="s">
        <v>86</v>
      </c>
      <c r="S39" s="70"/>
      <c r="T39" s="70" t="s">
        <v>87</v>
      </c>
      <c r="U39" s="70"/>
      <c r="V39" s="61"/>
      <c r="W39" s="21"/>
      <c r="X39" s="21"/>
      <c r="Y39" s="21"/>
      <c r="Z39" s="21"/>
      <c r="AA39" s="164"/>
      <c r="AB39" s="59"/>
      <c r="AC39" s="59"/>
      <c r="AD39" s="90"/>
      <c r="AE39" s="59"/>
      <c r="AF39" s="59"/>
      <c r="AG39" s="72" t="s">
        <v>88</v>
      </c>
      <c r="AH39" s="168"/>
      <c r="AP39" s="169">
        <f>AQ35+AE6</f>
        <v>1736.105</v>
      </c>
    </row>
    <row r="40" spans="1:43" ht="15.75" x14ac:dyDescent="0.25">
      <c r="A40" s="48" t="s">
        <v>89</v>
      </c>
      <c r="B40" s="49"/>
      <c r="C40" s="50"/>
      <c r="D40" s="137">
        <v>9.5</v>
      </c>
      <c r="E40" s="52">
        <f t="shared" si="0"/>
        <v>11.4</v>
      </c>
      <c r="F40" s="67">
        <f>0.35*1.1*1.1*1.3</f>
        <v>0.55055000000000009</v>
      </c>
      <c r="G40" s="52">
        <f t="shared" si="2"/>
        <v>0.66066000000000014</v>
      </c>
      <c r="H40" s="53"/>
      <c r="I40" s="55"/>
      <c r="J40" s="53"/>
      <c r="K40" s="68"/>
      <c r="L40" s="163">
        <f>(E39*0.5)+(G39*20)</f>
        <v>16.799640000000004</v>
      </c>
      <c r="M40" s="58"/>
      <c r="N40" s="58"/>
      <c r="O40" s="69"/>
      <c r="P40" s="69"/>
      <c r="Q40" s="103"/>
      <c r="R40" s="70"/>
      <c r="S40" s="70"/>
      <c r="T40" s="70"/>
      <c r="U40" s="70"/>
      <c r="V40" s="61"/>
      <c r="W40" s="21"/>
      <c r="X40" s="21"/>
      <c r="Y40" s="21"/>
      <c r="Z40" s="21"/>
      <c r="AA40" s="164"/>
      <c r="AB40" s="59"/>
      <c r="AC40" s="170"/>
      <c r="AD40" s="171">
        <f>SUM(AD37:AD38)</f>
        <v>155</v>
      </c>
      <c r="AE40" s="172">
        <f>AE29</f>
        <v>0.2</v>
      </c>
      <c r="AF40" s="170">
        <f>AD40*AE40</f>
        <v>31</v>
      </c>
      <c r="AG40" s="173">
        <f>AD40+AF40</f>
        <v>186</v>
      </c>
      <c r="AH40" s="73">
        <v>4</v>
      </c>
      <c r="AI40" s="23">
        <f>AG40/AH40</f>
        <v>46.5</v>
      </c>
    </row>
    <row r="41" spans="1:43" ht="15.75" x14ac:dyDescent="0.25">
      <c r="A41" s="48" t="s">
        <v>90</v>
      </c>
      <c r="B41" s="49"/>
      <c r="C41" s="174" t="s">
        <v>91</v>
      </c>
      <c r="D41" s="137">
        <f>5.6*1.1*1.1*1.3</f>
        <v>8.8088000000000015</v>
      </c>
      <c r="E41" s="52">
        <f t="shared" si="0"/>
        <v>10.570560000000002</v>
      </c>
      <c r="F41" s="67">
        <f>0.32*1.1*1.1*1.3</f>
        <v>0.50336000000000003</v>
      </c>
      <c r="G41" s="52">
        <f t="shared" si="2"/>
        <v>0.60403200000000001</v>
      </c>
      <c r="H41" s="53"/>
      <c r="I41" s="55"/>
      <c r="J41" s="53"/>
      <c r="K41" s="68"/>
      <c r="L41" s="163">
        <f>(E40*12)+(G40*1014)</f>
        <v>806.70924000000014</v>
      </c>
      <c r="M41" s="58"/>
      <c r="N41" s="58">
        <f>D41*2+F41*100</f>
        <v>67.953600000000009</v>
      </c>
      <c r="O41" s="69"/>
      <c r="P41" s="69"/>
      <c r="Q41" s="103"/>
      <c r="R41" s="70"/>
      <c r="S41" s="70"/>
      <c r="T41" s="70"/>
      <c r="U41" s="70"/>
      <c r="V41" s="61"/>
      <c r="W41" s="21"/>
      <c r="X41" s="21"/>
      <c r="Y41" s="21"/>
      <c r="Z41" s="21"/>
      <c r="AA41" s="164"/>
      <c r="AB41" s="59"/>
      <c r="AC41" s="175" t="s">
        <v>75</v>
      </c>
      <c r="AD41" s="176">
        <f>AD40/2</f>
        <v>77.5</v>
      </c>
      <c r="AE41" s="177">
        <f>AE40</f>
        <v>0.2</v>
      </c>
      <c r="AF41" s="98">
        <f>AF40</f>
        <v>31</v>
      </c>
      <c r="AG41" s="178">
        <f>AD41+AF41</f>
        <v>108.5</v>
      </c>
      <c r="AH41" s="179"/>
      <c r="AJ41" s="6">
        <f>7.5*25</f>
        <v>187.5</v>
      </c>
      <c r="AP41" s="2">
        <v>1755</v>
      </c>
    </row>
    <row r="42" spans="1:43" ht="15.75" x14ac:dyDescent="0.25">
      <c r="A42" s="48" t="s">
        <v>92</v>
      </c>
      <c r="B42" s="49"/>
      <c r="C42" s="50"/>
      <c r="D42" s="137">
        <f>5.8*1.1*1.1*1.3</f>
        <v>9.123400000000002</v>
      </c>
      <c r="E42" s="52">
        <f t="shared" si="0"/>
        <v>10.948080000000003</v>
      </c>
      <c r="F42" s="67">
        <f>0.37*1.1*1.1*1.3</f>
        <v>0.58201000000000003</v>
      </c>
      <c r="G42" s="52">
        <f t="shared" si="2"/>
        <v>0.69841200000000003</v>
      </c>
      <c r="H42" s="53"/>
      <c r="I42" s="55"/>
      <c r="J42" s="53"/>
      <c r="K42" s="68"/>
      <c r="L42" s="163">
        <f>L41/30</f>
        <v>26.890308000000005</v>
      </c>
      <c r="M42" s="58"/>
      <c r="N42" s="58">
        <f>N41*20%</f>
        <v>13.590720000000003</v>
      </c>
      <c r="O42" s="69"/>
      <c r="P42" s="69"/>
      <c r="Q42" s="61"/>
      <c r="R42" s="70"/>
      <c r="S42" s="70"/>
      <c r="T42" s="70"/>
      <c r="U42" s="70"/>
      <c r="V42" s="61"/>
      <c r="W42" s="21"/>
      <c r="X42" s="21"/>
      <c r="Y42" s="21"/>
      <c r="Z42" s="21"/>
      <c r="AA42" s="164"/>
      <c r="AB42" s="59"/>
      <c r="AC42" s="59"/>
      <c r="AD42" s="59"/>
      <c r="AE42" s="59"/>
      <c r="AF42" s="59"/>
      <c r="AG42" s="59"/>
      <c r="AH42" s="73"/>
      <c r="AJ42" s="2">
        <f>5.15*1.2*25</f>
        <v>154.50000000000003</v>
      </c>
    </row>
    <row r="43" spans="1:43" ht="15.75" x14ac:dyDescent="0.25">
      <c r="A43" s="48" t="s">
        <v>93</v>
      </c>
      <c r="B43" s="49"/>
      <c r="C43" s="50"/>
      <c r="D43" s="137">
        <v>20</v>
      </c>
      <c r="E43" s="52">
        <f t="shared" si="0"/>
        <v>24</v>
      </c>
      <c r="F43" s="67">
        <v>1.9</v>
      </c>
      <c r="G43" s="52">
        <f t="shared" si="2"/>
        <v>2.2799999999999998</v>
      </c>
      <c r="H43" s="53"/>
      <c r="I43" s="55"/>
      <c r="J43" s="53"/>
      <c r="K43" s="68"/>
      <c r="L43" s="163"/>
      <c r="M43" s="58"/>
      <c r="N43" s="58">
        <f>N41/2</f>
        <v>33.976800000000004</v>
      </c>
      <c r="O43" s="69"/>
      <c r="P43" s="69"/>
      <c r="Q43" s="103"/>
      <c r="R43" s="70"/>
      <c r="S43" s="70"/>
      <c r="T43" s="70"/>
      <c r="U43" s="70"/>
      <c r="V43" s="61"/>
      <c r="W43" s="18"/>
      <c r="X43" s="21"/>
      <c r="Y43" s="21"/>
      <c r="Z43" s="21"/>
      <c r="AA43" s="164"/>
      <c r="AB43" s="59"/>
      <c r="AC43" s="72" t="s">
        <v>61</v>
      </c>
      <c r="AD43" s="90">
        <v>7</v>
      </c>
      <c r="AE43" s="59"/>
      <c r="AF43" s="59"/>
      <c r="AG43" s="59"/>
      <c r="AH43" s="73"/>
      <c r="AJ43" s="23">
        <f>AE6+AJ41+AJ42</f>
        <v>672</v>
      </c>
      <c r="AP43" s="34">
        <f>AP41-AP39</f>
        <v>18.894999999999982</v>
      </c>
    </row>
    <row r="44" spans="1:43" ht="15.75" x14ac:dyDescent="0.25">
      <c r="A44" s="180" t="s">
        <v>94</v>
      </c>
      <c r="B44" s="181"/>
      <c r="C44" s="182"/>
      <c r="D44" s="94">
        <v>20</v>
      </c>
      <c r="E44" s="52">
        <f t="shared" si="0"/>
        <v>24</v>
      </c>
      <c r="F44" s="67">
        <v>1.8</v>
      </c>
      <c r="G44" s="52">
        <f t="shared" si="2"/>
        <v>2.16</v>
      </c>
      <c r="H44" s="79"/>
      <c r="I44" s="183"/>
      <c r="J44" s="184"/>
      <c r="K44" s="185"/>
      <c r="L44" s="163"/>
      <c r="M44" s="58"/>
      <c r="N44" s="58">
        <f>SUM(N42:N43)</f>
        <v>47.567520000000009</v>
      </c>
      <c r="O44" s="69" t="s">
        <v>95</v>
      </c>
      <c r="P44" s="69"/>
      <c r="Q44" s="103"/>
      <c r="R44" s="70"/>
      <c r="S44" s="70"/>
      <c r="T44" s="70"/>
      <c r="U44" s="70"/>
      <c r="V44" s="61"/>
      <c r="W44" s="18"/>
      <c r="X44" s="21"/>
      <c r="Y44" s="21"/>
      <c r="Z44" s="21"/>
      <c r="AA44" s="186"/>
      <c r="AB44" s="157"/>
      <c r="AC44" s="157"/>
      <c r="AD44" s="187">
        <f>AG40/AD43</f>
        <v>26.571428571428573</v>
      </c>
      <c r="AE44" s="157"/>
      <c r="AF44" s="157"/>
      <c r="AG44" s="157"/>
      <c r="AH44" s="188"/>
    </row>
    <row r="45" spans="1:43" ht="15.75" x14ac:dyDescent="0.25">
      <c r="A45" s="100"/>
      <c r="B45" s="101" t="s">
        <v>96</v>
      </c>
      <c r="C45" s="102"/>
      <c r="D45" s="94">
        <v>17</v>
      </c>
      <c r="E45" s="52">
        <f t="shared" si="0"/>
        <v>20.399999999999999</v>
      </c>
      <c r="F45" s="86"/>
      <c r="G45" s="85"/>
      <c r="H45" s="86"/>
      <c r="I45" s="54"/>
      <c r="J45" s="86"/>
      <c r="K45" s="87"/>
      <c r="L45" s="58"/>
      <c r="M45" s="58"/>
      <c r="N45" s="58"/>
      <c r="O45" s="69"/>
      <c r="P45" s="69"/>
      <c r="Q45" s="103"/>
      <c r="R45" s="70"/>
      <c r="S45" s="70"/>
      <c r="T45" s="70"/>
      <c r="U45" s="70"/>
      <c r="V45" s="61"/>
      <c r="W45" s="18"/>
      <c r="X45" s="21"/>
      <c r="Y45" s="21"/>
      <c r="Z45" s="21"/>
      <c r="AA45" s="21"/>
    </row>
    <row r="46" spans="1:43" ht="15.75" x14ac:dyDescent="0.25">
      <c r="A46" s="92" t="s">
        <v>97</v>
      </c>
      <c r="B46" s="58"/>
      <c r="C46" s="93"/>
      <c r="D46" s="94">
        <v>20</v>
      </c>
      <c r="E46" s="52">
        <f t="shared" si="0"/>
        <v>24</v>
      </c>
      <c r="F46" s="67">
        <v>1</v>
      </c>
      <c r="G46" s="52">
        <f t="shared" si="2"/>
        <v>1.2</v>
      </c>
      <c r="H46" s="79"/>
      <c r="I46" s="80"/>
      <c r="J46" s="79"/>
      <c r="K46" s="81"/>
      <c r="L46" s="58"/>
      <c r="M46" s="58"/>
      <c r="N46" s="58"/>
      <c r="O46" s="69"/>
      <c r="Q46" s="59"/>
      <c r="R46" s="70"/>
      <c r="S46" s="70"/>
      <c r="T46" s="70"/>
      <c r="U46" s="189"/>
      <c r="V46" s="189"/>
      <c r="W46" s="18"/>
      <c r="X46" s="21"/>
      <c r="Y46" s="21"/>
      <c r="Z46" s="21"/>
      <c r="AA46" s="21"/>
      <c r="AM46" s="2">
        <v>784087</v>
      </c>
      <c r="AN46" s="2">
        <v>4626199</v>
      </c>
    </row>
    <row r="47" spans="1:43" ht="15.75" x14ac:dyDescent="0.25">
      <c r="A47" s="100"/>
      <c r="B47" s="101"/>
      <c r="C47" s="102" t="s">
        <v>98</v>
      </c>
      <c r="D47" s="190">
        <v>17</v>
      </c>
      <c r="E47" s="52">
        <f t="shared" si="0"/>
        <v>20.399999999999999</v>
      </c>
      <c r="F47" s="79"/>
      <c r="G47" s="80"/>
      <c r="H47" s="79"/>
      <c r="I47" s="54"/>
      <c r="J47" s="86"/>
      <c r="K47" s="87"/>
      <c r="L47" s="58"/>
      <c r="M47" s="58"/>
      <c r="N47" s="58"/>
      <c r="O47" s="69"/>
      <c r="Q47" s="191"/>
      <c r="R47" s="70"/>
      <c r="S47" s="70"/>
      <c r="T47" s="70"/>
      <c r="U47" s="70"/>
      <c r="V47" s="189"/>
      <c r="W47" s="18"/>
      <c r="X47" s="21"/>
      <c r="Y47" s="21"/>
      <c r="Z47" s="21"/>
      <c r="AA47" s="21"/>
      <c r="AC47" s="8" t="s">
        <v>99</v>
      </c>
      <c r="AM47" s="2">
        <f>803726-109560</f>
        <v>694166</v>
      </c>
      <c r="AN47" s="2">
        <f>5128846-505556</f>
        <v>4623290</v>
      </c>
    </row>
    <row r="48" spans="1:43" ht="15.75" x14ac:dyDescent="0.25">
      <c r="A48" s="48" t="s">
        <v>100</v>
      </c>
      <c r="B48" s="49"/>
      <c r="C48" s="49"/>
      <c r="D48" s="94"/>
      <c r="E48" s="52"/>
      <c r="F48" s="53"/>
      <c r="G48" s="55"/>
      <c r="H48" s="67">
        <v>8</v>
      </c>
      <c r="I48" s="52">
        <f>H48*1.2</f>
        <v>9.6</v>
      </c>
      <c r="J48" s="53"/>
      <c r="K48" s="68"/>
      <c r="L48" s="58"/>
      <c r="M48" s="163"/>
      <c r="N48" s="58"/>
      <c r="O48" s="69"/>
      <c r="P48" s="69"/>
      <c r="Q48" s="103"/>
      <c r="R48" s="70"/>
      <c r="S48" s="70"/>
      <c r="T48" s="70"/>
      <c r="U48" s="70"/>
      <c r="V48" s="61"/>
      <c r="W48" s="21"/>
      <c r="X48" s="21"/>
      <c r="Y48" s="21"/>
      <c r="Z48" s="21"/>
      <c r="AA48" s="21"/>
      <c r="AM48" s="2">
        <f>AM47-AM46</f>
        <v>-89921</v>
      </c>
      <c r="AN48" s="2">
        <f>AN47-AN46</f>
        <v>-2909</v>
      </c>
    </row>
    <row r="49" spans="1:40" ht="15.75" x14ac:dyDescent="0.25">
      <c r="A49" s="192" t="s">
        <v>101</v>
      </c>
      <c r="B49" s="193"/>
      <c r="C49" s="193"/>
      <c r="D49" s="94"/>
      <c r="E49" s="52"/>
      <c r="F49" s="53"/>
      <c r="G49" s="55"/>
      <c r="H49" s="67">
        <v>60</v>
      </c>
      <c r="I49" s="52">
        <f>H49*1.2</f>
        <v>72</v>
      </c>
      <c r="J49" s="53"/>
      <c r="K49" s="68"/>
      <c r="L49" s="58"/>
      <c r="M49" s="163"/>
      <c r="N49" s="58"/>
      <c r="O49" s="69"/>
      <c r="P49" s="69"/>
      <c r="Q49" s="103" t="s">
        <v>102</v>
      </c>
      <c r="R49" s="70"/>
      <c r="S49" s="70"/>
      <c r="T49" s="70"/>
      <c r="U49" s="70"/>
      <c r="V49" s="61"/>
      <c r="W49" s="21"/>
      <c r="X49" s="21"/>
      <c r="Y49" s="21"/>
      <c r="Z49" s="21"/>
      <c r="AA49" s="21"/>
      <c r="AF49" s="8" t="s">
        <v>8</v>
      </c>
      <c r="AH49" s="8" t="s">
        <v>103</v>
      </c>
      <c r="AM49" s="194">
        <f>AM48/AM46</f>
        <v>-0.11468242682253373</v>
      </c>
      <c r="AN49" s="195">
        <f>AN48/AN46</f>
        <v>-6.2880995824001514E-4</v>
      </c>
    </row>
    <row r="50" spans="1:40" ht="15.75" x14ac:dyDescent="0.25">
      <c r="A50" s="48"/>
      <c r="B50" s="49"/>
      <c r="C50" s="49"/>
      <c r="D50" s="94"/>
      <c r="E50" s="52"/>
      <c r="F50" s="53"/>
      <c r="G50" s="55"/>
      <c r="H50" s="67"/>
      <c r="I50" s="52"/>
      <c r="J50" s="53"/>
      <c r="K50" s="68"/>
      <c r="L50" s="58"/>
      <c r="M50" s="58"/>
      <c r="N50" s="58"/>
      <c r="O50" s="69"/>
      <c r="P50" s="8"/>
      <c r="Q50" s="72" t="s">
        <v>20</v>
      </c>
      <c r="R50" s="196">
        <v>3</v>
      </c>
      <c r="S50" s="132">
        <f>E40*R50</f>
        <v>34.200000000000003</v>
      </c>
      <c r="T50" s="70"/>
      <c r="U50" s="70"/>
      <c r="V50" s="197"/>
      <c r="W50" s="21"/>
      <c r="X50" s="21"/>
      <c r="Y50" s="21"/>
      <c r="Z50" s="21"/>
      <c r="AA50" s="21"/>
      <c r="AB50" s="8" t="s">
        <v>14</v>
      </c>
      <c r="AC50" s="2">
        <v>860</v>
      </c>
      <c r="AD50" s="21">
        <f>S2</f>
        <v>2.1630835182665433</v>
      </c>
      <c r="AE50" s="21">
        <f>AC50*AD50</f>
        <v>1860.2518257092272</v>
      </c>
      <c r="AG50" s="8" t="s">
        <v>104</v>
      </c>
      <c r="AH50" s="2">
        <f>'[2]Ст-ть ЖД услуг'!$F$36</f>
        <v>1419082</v>
      </c>
      <c r="AI50" s="2">
        <v>60</v>
      </c>
    </row>
    <row r="51" spans="1:40" ht="15.75" x14ac:dyDescent="0.25">
      <c r="A51" s="48" t="s">
        <v>105</v>
      </c>
      <c r="B51" s="49"/>
      <c r="C51" s="49"/>
      <c r="D51" s="137"/>
      <c r="E51" s="74"/>
      <c r="F51" s="53"/>
      <c r="G51" s="55"/>
      <c r="H51" s="67">
        <v>100</v>
      </c>
      <c r="I51" s="52">
        <f>H51*1.2</f>
        <v>120</v>
      </c>
      <c r="J51" s="53"/>
      <c r="K51" s="68"/>
      <c r="L51" s="58"/>
      <c r="M51" s="58"/>
      <c r="N51" s="58"/>
      <c r="O51" s="69"/>
      <c r="P51" s="8"/>
      <c r="Q51" s="72"/>
      <c r="R51" s="196"/>
      <c r="S51" s="132"/>
      <c r="T51" s="70"/>
      <c r="U51" s="70"/>
      <c r="V51" s="197"/>
      <c r="W51" s="21"/>
      <c r="X51" s="21"/>
      <c r="Y51" s="21"/>
      <c r="Z51" s="21"/>
      <c r="AA51" s="21"/>
      <c r="AB51" s="8"/>
      <c r="AD51" s="21"/>
      <c r="AE51" s="21"/>
      <c r="AG51" s="8"/>
    </row>
    <row r="52" spans="1:40" ht="15.75" x14ac:dyDescent="0.25">
      <c r="A52" s="239" t="s">
        <v>106</v>
      </c>
      <c r="B52" s="240"/>
      <c r="C52" s="240"/>
      <c r="D52" s="241"/>
      <c r="E52" s="242"/>
      <c r="F52" s="243"/>
      <c r="G52" s="244"/>
      <c r="H52" s="245">
        <v>160</v>
      </c>
      <c r="I52" s="246">
        <f>H52*1.2</f>
        <v>192</v>
      </c>
      <c r="J52" s="53"/>
      <c r="K52" s="68"/>
      <c r="L52" s="58"/>
      <c r="M52" s="58"/>
      <c r="N52" s="58"/>
      <c r="O52" s="69"/>
      <c r="P52" s="8"/>
      <c r="Q52" s="72"/>
      <c r="R52" s="196"/>
      <c r="S52" s="132"/>
      <c r="T52" s="70"/>
      <c r="U52" s="70"/>
      <c r="V52" s="197"/>
      <c r="W52" s="21"/>
      <c r="X52" s="21"/>
      <c r="Y52" s="21"/>
      <c r="Z52" s="21"/>
      <c r="AA52" s="21"/>
      <c r="AB52" s="8"/>
      <c r="AD52" s="21"/>
      <c r="AE52" s="21"/>
      <c r="AG52" s="8"/>
    </row>
    <row r="53" spans="1:40" ht="29.25" customHeight="1" x14ac:dyDescent="0.25">
      <c r="A53" s="265" t="s">
        <v>107</v>
      </c>
      <c r="B53" s="266"/>
      <c r="C53" s="267"/>
      <c r="D53" s="241"/>
      <c r="E53" s="242"/>
      <c r="F53" s="243"/>
      <c r="G53" s="244"/>
      <c r="H53" s="245">
        <v>294</v>
      </c>
      <c r="I53" s="246">
        <f>H53*1.2</f>
        <v>352.8</v>
      </c>
      <c r="J53" s="53"/>
      <c r="K53" s="68"/>
      <c r="L53" s="58"/>
      <c r="M53" s="58"/>
      <c r="N53" s="58"/>
      <c r="O53" s="69"/>
      <c r="P53" s="8"/>
      <c r="Q53" s="72"/>
      <c r="R53" s="196"/>
      <c r="S53" s="132"/>
      <c r="T53" s="70"/>
      <c r="U53" s="70"/>
      <c r="V53" s="197"/>
      <c r="W53" s="21"/>
      <c r="X53" s="21"/>
      <c r="Y53" s="21"/>
      <c r="Z53" s="21"/>
      <c r="AA53" s="21"/>
      <c r="AB53" s="8"/>
      <c r="AD53" s="21"/>
      <c r="AE53" s="21"/>
      <c r="AG53" s="8"/>
    </row>
    <row r="54" spans="1:40" ht="15.75" x14ac:dyDescent="0.25">
      <c r="A54" s="48" t="s">
        <v>108</v>
      </c>
      <c r="B54" s="49"/>
      <c r="C54" s="50"/>
      <c r="D54" s="137">
        <v>40</v>
      </c>
      <c r="E54" s="74">
        <f t="shared" si="0"/>
        <v>48</v>
      </c>
      <c r="F54" s="53"/>
      <c r="G54" s="55"/>
      <c r="H54" s="53"/>
      <c r="I54" s="55"/>
      <c r="J54" s="53"/>
      <c r="K54" s="68"/>
      <c r="L54" s="58"/>
      <c r="M54" s="58"/>
      <c r="N54" s="58"/>
      <c r="O54" s="69"/>
      <c r="P54" s="8"/>
      <c r="Q54" s="72" t="s">
        <v>14</v>
      </c>
      <c r="R54" s="196">
        <v>45</v>
      </c>
      <c r="S54" s="132">
        <f>R54*G40</f>
        <v>29.729700000000005</v>
      </c>
      <c r="T54" s="70"/>
      <c r="U54" s="70"/>
      <c r="V54" s="197"/>
      <c r="W54" s="18"/>
      <c r="X54" s="21"/>
      <c r="Y54" s="21"/>
      <c r="Z54" s="21"/>
      <c r="AA54" s="21"/>
      <c r="AB54" s="8" t="s">
        <v>69</v>
      </c>
      <c r="AC54" s="2">
        <v>24</v>
      </c>
      <c r="AD54" s="21">
        <f>S5</f>
        <v>43.064212677413792</v>
      </c>
      <c r="AE54" s="198">
        <f>AC54*AD54</f>
        <v>1033.541104257931</v>
      </c>
      <c r="AG54" s="8" t="s">
        <v>109</v>
      </c>
      <c r="AH54" s="2">
        <v>1000000</v>
      </c>
    </row>
    <row r="55" spans="1:40" ht="15.75" x14ac:dyDescent="0.25">
      <c r="A55" s="92" t="s">
        <v>110</v>
      </c>
      <c r="B55" s="58"/>
      <c r="C55" s="93"/>
      <c r="D55" s="78"/>
      <c r="E55" s="74"/>
      <c r="F55" s="79"/>
      <c r="G55" s="80"/>
      <c r="H55" s="79"/>
      <c r="I55" s="183"/>
      <c r="J55" s="184"/>
      <c r="K55" s="185"/>
      <c r="L55" s="58"/>
      <c r="M55" s="58"/>
      <c r="N55" s="58"/>
      <c r="O55" s="69"/>
      <c r="Q55" s="59"/>
      <c r="R55" s="70"/>
      <c r="S55" s="132">
        <f>SUM(S50:S54)</f>
        <v>63.929700000000011</v>
      </c>
      <c r="T55" s="70"/>
      <c r="U55" s="70"/>
      <c r="V55" s="197"/>
      <c r="W55" s="21"/>
      <c r="X55" s="21"/>
      <c r="Y55" s="21"/>
      <c r="Z55" s="21"/>
      <c r="AA55" s="21"/>
      <c r="AB55" s="8" t="s">
        <v>16</v>
      </c>
      <c r="AC55" s="2">
        <v>30</v>
      </c>
      <c r="AD55" s="21">
        <f>S3</f>
        <v>2.0884649111327667</v>
      </c>
      <c r="AE55" s="198">
        <f>AC55*AD55</f>
        <v>62.653947333982998</v>
      </c>
    </row>
    <row r="56" spans="1:40" ht="15.75" x14ac:dyDescent="0.25">
      <c r="A56" s="92" t="s">
        <v>111</v>
      </c>
      <c r="B56" s="58"/>
      <c r="C56" s="93"/>
      <c r="D56" s="78"/>
      <c r="E56" s="110"/>
      <c r="F56" s="79"/>
      <c r="G56" s="80"/>
      <c r="H56" s="79"/>
      <c r="I56" s="80"/>
      <c r="J56" s="79"/>
      <c r="K56" s="81"/>
      <c r="L56" s="58"/>
      <c r="M56" s="58"/>
      <c r="N56" s="58"/>
      <c r="O56" s="69"/>
      <c r="Q56" s="59"/>
      <c r="R56" s="70"/>
      <c r="S56" s="70"/>
      <c r="T56" s="70"/>
      <c r="U56" s="70"/>
      <c r="V56" s="197"/>
      <c r="W56" s="21"/>
      <c r="X56" s="21"/>
      <c r="Y56" s="21"/>
      <c r="Z56" s="21"/>
      <c r="AA56" s="21"/>
      <c r="AB56" s="8" t="s">
        <v>16</v>
      </c>
      <c r="AC56" s="2">
        <v>30</v>
      </c>
      <c r="AD56" s="21">
        <f>S4</f>
        <v>0.98394658217554831</v>
      </c>
      <c r="AE56" s="198">
        <f>AC56*AD56</f>
        <v>29.51839746526645</v>
      </c>
      <c r="AF56" s="8" t="s">
        <v>24</v>
      </c>
      <c r="AI56" s="8" t="s">
        <v>24</v>
      </c>
    </row>
    <row r="57" spans="1:40" ht="15.75" x14ac:dyDescent="0.25">
      <c r="A57" s="100"/>
      <c r="B57" s="101" t="s">
        <v>112</v>
      </c>
      <c r="C57" s="102"/>
      <c r="D57" s="84"/>
      <c r="E57" s="85"/>
      <c r="F57" s="86"/>
      <c r="G57" s="54"/>
      <c r="H57" s="56">
        <f>3.7*1.05*1.05*1.5</f>
        <v>6.1188750000000001</v>
      </c>
      <c r="I57" s="85">
        <f>H57*1.2</f>
        <v>7.3426499999999999</v>
      </c>
      <c r="J57" s="86"/>
      <c r="K57" s="87"/>
      <c r="L57" s="58"/>
      <c r="M57" s="58"/>
      <c r="N57" s="58"/>
      <c r="O57" s="69"/>
      <c r="Q57" s="59"/>
      <c r="R57" s="70"/>
      <c r="S57" s="70"/>
      <c r="T57" s="70"/>
      <c r="U57" s="189"/>
      <c r="V57" s="189"/>
      <c r="W57" s="21"/>
      <c r="X57" s="21"/>
      <c r="Y57" s="21"/>
      <c r="Z57" s="21"/>
      <c r="AA57" s="21"/>
      <c r="AE57" s="21">
        <f>SUM(AE50:AE56)</f>
        <v>2985.9652747664077</v>
      </c>
      <c r="AF57" s="38">
        <f>AE57/AC56</f>
        <v>99.532175825546929</v>
      </c>
      <c r="AH57" s="2">
        <f>SUM(AH50:AH56)</f>
        <v>2419082</v>
      </c>
      <c r="AI57" s="38">
        <f>AH57/AI50</f>
        <v>40318.033333333333</v>
      </c>
    </row>
    <row r="58" spans="1:40" ht="15.75" x14ac:dyDescent="0.25">
      <c r="A58" s="48"/>
      <c r="B58" s="49" t="s">
        <v>113</v>
      </c>
      <c r="C58" s="50"/>
      <c r="D58" s="91"/>
      <c r="E58" s="85"/>
      <c r="F58" s="53"/>
      <c r="G58" s="55"/>
      <c r="H58" s="67">
        <f>3.1*1.05*1.05*1.5</f>
        <v>5.1266250000000007</v>
      </c>
      <c r="I58" s="85">
        <f>H58*1.2</f>
        <v>6.1519500000000003</v>
      </c>
      <c r="J58" s="79"/>
      <c r="K58" s="81"/>
      <c r="L58" s="58"/>
      <c r="M58" s="58"/>
      <c r="N58" s="58"/>
      <c r="O58" s="69"/>
      <c r="Q58" s="59"/>
      <c r="R58" s="70"/>
      <c r="S58" s="70"/>
      <c r="T58" s="70"/>
      <c r="U58" s="189"/>
      <c r="V58" s="189"/>
      <c r="W58" s="21"/>
      <c r="X58" s="21"/>
      <c r="Y58" s="21"/>
      <c r="Z58" s="21"/>
      <c r="AA58" s="21"/>
    </row>
    <row r="59" spans="1:40" ht="15.75" x14ac:dyDescent="0.25">
      <c r="A59" s="48"/>
      <c r="B59" s="49" t="s">
        <v>114</v>
      </c>
      <c r="C59" s="50"/>
      <c r="D59" s="91"/>
      <c r="E59" s="52"/>
      <c r="F59" s="53"/>
      <c r="G59" s="55"/>
      <c r="H59" s="67">
        <f>2.8*1.05*1.05*1.5</f>
        <v>4.6305000000000005</v>
      </c>
      <c r="I59" s="85">
        <f>H59*1.2</f>
        <v>5.5566000000000004</v>
      </c>
      <c r="J59" s="86"/>
      <c r="K59" s="87"/>
      <c r="L59" s="58"/>
      <c r="M59" s="58"/>
      <c r="N59" s="58"/>
      <c r="Q59" s="59"/>
      <c r="R59" s="191"/>
      <c r="S59" s="191"/>
      <c r="T59" s="191"/>
      <c r="U59" s="59"/>
      <c r="V59" s="59"/>
      <c r="AE59" s="8" t="s">
        <v>115</v>
      </c>
    </row>
    <row r="60" spans="1:40" ht="15.75" x14ac:dyDescent="0.25">
      <c r="A60" s="48" t="s">
        <v>116</v>
      </c>
      <c r="B60" s="49"/>
      <c r="C60" s="50"/>
      <c r="D60" s="94">
        <v>35</v>
      </c>
      <c r="E60" s="52">
        <f t="shared" si="0"/>
        <v>42</v>
      </c>
      <c r="F60" s="53"/>
      <c r="G60" s="55"/>
      <c r="H60" s="53"/>
      <c r="I60" s="55"/>
      <c r="J60" s="53"/>
      <c r="K60" s="68"/>
      <c r="L60" s="199">
        <f>(D60*4)/2+((D60*4)*20%)</f>
        <v>98</v>
      </c>
      <c r="M60" s="58" t="s">
        <v>117</v>
      </c>
      <c r="N60" s="58"/>
      <c r="Q60" s="2">
        <f>0.5*D60</f>
        <v>17.5</v>
      </c>
      <c r="R60" s="6">
        <f>Q60*1.2</f>
        <v>21</v>
      </c>
      <c r="S60" s="20">
        <f>R60+AG40</f>
        <v>207</v>
      </c>
    </row>
    <row r="61" spans="1:40" ht="15.75" x14ac:dyDescent="0.25">
      <c r="A61" s="200" t="s">
        <v>118</v>
      </c>
      <c r="B61" s="201"/>
      <c r="C61" s="202"/>
      <c r="D61" s="203">
        <v>45</v>
      </c>
      <c r="E61" s="52">
        <f t="shared" si="0"/>
        <v>54</v>
      </c>
      <c r="F61" s="86"/>
      <c r="G61" s="54"/>
      <c r="H61" s="86"/>
      <c r="I61" s="54"/>
      <c r="J61" s="86"/>
      <c r="K61" s="87"/>
      <c r="L61" s="58"/>
      <c r="M61" s="58"/>
      <c r="N61" s="58"/>
    </row>
    <row r="62" spans="1:40" ht="25.5" customHeight="1" x14ac:dyDescent="0.25">
      <c r="A62" s="288" t="s">
        <v>119</v>
      </c>
      <c r="B62" s="289"/>
      <c r="C62" s="290"/>
      <c r="D62" s="203">
        <v>45</v>
      </c>
      <c r="E62" s="52">
        <f>D62*1.2</f>
        <v>54</v>
      </c>
      <c r="F62" s="86"/>
      <c r="G62" s="54"/>
      <c r="H62" s="86"/>
      <c r="I62" s="54"/>
      <c r="J62" s="86"/>
      <c r="K62" s="87"/>
      <c r="L62" s="58"/>
      <c r="M62" s="58"/>
      <c r="N62" s="58"/>
    </row>
    <row r="63" spans="1:40" ht="19.899999999999999" customHeight="1" x14ac:dyDescent="0.25">
      <c r="A63" s="100" t="s">
        <v>120</v>
      </c>
      <c r="B63" s="101"/>
      <c r="C63" s="102"/>
      <c r="D63" s="84"/>
      <c r="E63" s="74"/>
      <c r="F63" s="86"/>
      <c r="G63" s="54"/>
      <c r="H63" s="56">
        <v>6.33</v>
      </c>
      <c r="I63" s="85">
        <f>H63*1.2</f>
        <v>7.5960000000000001</v>
      </c>
      <c r="J63" s="86"/>
      <c r="K63" s="87"/>
      <c r="L63" s="58"/>
      <c r="M63" s="58"/>
      <c r="N63" s="58"/>
    </row>
    <row r="64" spans="1:40" ht="17.45" customHeight="1" x14ac:dyDescent="0.25">
      <c r="A64" s="92" t="s">
        <v>121</v>
      </c>
      <c r="B64" s="58"/>
      <c r="C64" s="93"/>
      <c r="D64" s="78"/>
      <c r="E64" s="74"/>
      <c r="F64" s="79"/>
      <c r="G64" s="80"/>
      <c r="H64" s="79"/>
      <c r="I64" s="80"/>
      <c r="J64" s="79"/>
      <c r="K64" s="81"/>
      <c r="L64" s="58"/>
      <c r="M64" s="58"/>
      <c r="N64" s="58"/>
      <c r="P64" s="8"/>
      <c r="Q64" s="8"/>
      <c r="R64" s="8"/>
      <c r="S64" s="8"/>
      <c r="T64" s="8"/>
      <c r="AF64" s="8" t="s">
        <v>8</v>
      </c>
      <c r="AG64" s="11" t="s">
        <v>122</v>
      </c>
    </row>
    <row r="65" spans="1:36" ht="15.75" x14ac:dyDescent="0.25">
      <c r="A65" s="100" t="s">
        <v>123</v>
      </c>
      <c r="B65" s="101"/>
      <c r="C65" s="102"/>
      <c r="D65" s="84"/>
      <c r="E65" s="85"/>
      <c r="F65" s="86"/>
      <c r="G65" s="54"/>
      <c r="H65" s="56">
        <v>2.5</v>
      </c>
      <c r="I65" s="85">
        <f>H65*1.2</f>
        <v>3</v>
      </c>
      <c r="J65" s="86"/>
      <c r="K65" s="87"/>
      <c r="L65" s="58"/>
      <c r="M65" s="58"/>
      <c r="N65" s="58"/>
      <c r="AB65" s="8" t="s">
        <v>124</v>
      </c>
      <c r="AC65" s="8" t="s">
        <v>125</v>
      </c>
      <c r="AD65" s="8" t="s">
        <v>126</v>
      </c>
      <c r="AG65" s="204" t="s">
        <v>127</v>
      </c>
      <c r="AI65" s="6" t="s">
        <v>128</v>
      </c>
    </row>
    <row r="66" spans="1:36" ht="48" hidden="1" customHeight="1" x14ac:dyDescent="0.25">
      <c r="A66" s="291" t="s">
        <v>129</v>
      </c>
      <c r="B66" s="292"/>
      <c r="C66" s="293"/>
      <c r="D66" s="205"/>
      <c r="E66" s="85"/>
      <c r="F66" s="153"/>
      <c r="G66" s="154"/>
      <c r="H66" s="206">
        <f t="shared" ref="H66:H76" si="3">ROUND(M66*1.007*1.007*1.007*1.007*1.007/10,0)*10</f>
        <v>0</v>
      </c>
      <c r="I66" s="207"/>
      <c r="J66" s="153"/>
      <c r="K66" s="155"/>
      <c r="L66" s="59"/>
      <c r="M66" s="59"/>
      <c r="N66" s="59"/>
    </row>
    <row r="67" spans="1:36" ht="19.899999999999999" hidden="1" customHeight="1" x14ac:dyDescent="0.25">
      <c r="A67" s="208"/>
      <c r="B67" s="209" t="s">
        <v>130</v>
      </c>
      <c r="C67" s="73"/>
      <c r="D67" s="205"/>
      <c r="E67" s="52"/>
      <c r="F67" s="153"/>
      <c r="G67" s="154"/>
      <c r="H67" s="206">
        <f t="shared" si="3"/>
        <v>0</v>
      </c>
      <c r="I67" s="207"/>
      <c r="J67" s="153"/>
      <c r="K67" s="155"/>
      <c r="L67" s="59"/>
      <c r="M67" s="59"/>
      <c r="N67" s="59"/>
      <c r="AB67" s="8" t="s">
        <v>14</v>
      </c>
      <c r="AC67" s="2">
        <f>220*2</f>
        <v>440</v>
      </c>
      <c r="AD67" s="21">
        <f>AD50</f>
        <v>2.1630835182665433</v>
      </c>
      <c r="AE67" s="21">
        <f>AC67*AD67</f>
        <v>951.75674803727907</v>
      </c>
    </row>
    <row r="68" spans="1:36" ht="15.75" hidden="1" x14ac:dyDescent="0.25">
      <c r="A68" s="76"/>
      <c r="B68" s="209" t="s">
        <v>131</v>
      </c>
      <c r="C68" s="73"/>
      <c r="D68" s="205"/>
      <c r="E68" s="52"/>
      <c r="F68" s="153"/>
      <c r="G68" s="154"/>
      <c r="H68" s="206">
        <f t="shared" si="3"/>
        <v>0</v>
      </c>
      <c r="I68" s="207"/>
      <c r="J68" s="153"/>
      <c r="K68" s="155"/>
      <c r="L68" s="59"/>
      <c r="M68" s="59"/>
      <c r="N68" s="59"/>
      <c r="AB68" s="8" t="s">
        <v>69</v>
      </c>
      <c r="AC68" s="2">
        <v>10</v>
      </c>
      <c r="AD68" s="21">
        <f t="shared" ref="AD68:AD74" si="4">AD54</f>
        <v>43.064212677413792</v>
      </c>
      <c r="AE68" s="21">
        <f t="shared" ref="AE68:AE81" si="5">AC68*AD68</f>
        <v>430.64212677413792</v>
      </c>
    </row>
    <row r="69" spans="1:36" ht="15.75" hidden="1" x14ac:dyDescent="0.25">
      <c r="A69" s="76"/>
      <c r="B69" s="209" t="s">
        <v>132</v>
      </c>
      <c r="C69" s="73"/>
      <c r="D69" s="205"/>
      <c r="E69" s="52"/>
      <c r="F69" s="153"/>
      <c r="G69" s="154"/>
      <c r="H69" s="206">
        <f t="shared" si="3"/>
        <v>0</v>
      </c>
      <c r="I69" s="207"/>
      <c r="J69" s="153"/>
      <c r="K69" s="155"/>
      <c r="L69" s="59"/>
      <c r="M69" s="59"/>
      <c r="N69" s="59"/>
      <c r="AB69" s="8" t="s">
        <v>16</v>
      </c>
      <c r="AC69" s="2">
        <v>30</v>
      </c>
      <c r="AD69" s="21">
        <f t="shared" si="4"/>
        <v>2.0884649111327667</v>
      </c>
      <c r="AE69" s="21">
        <f t="shared" si="5"/>
        <v>62.653947333982998</v>
      </c>
      <c r="AF69" s="8" t="s">
        <v>24</v>
      </c>
    </row>
    <row r="70" spans="1:36" ht="37.15" hidden="1" customHeight="1" x14ac:dyDescent="0.25">
      <c r="A70" s="291" t="s">
        <v>133</v>
      </c>
      <c r="B70" s="292"/>
      <c r="C70" s="293"/>
      <c r="D70" s="205"/>
      <c r="E70" s="52"/>
      <c r="F70" s="153"/>
      <c r="G70" s="154"/>
      <c r="H70" s="206">
        <f t="shared" si="3"/>
        <v>0</v>
      </c>
      <c r="I70" s="207"/>
      <c r="J70" s="153"/>
      <c r="K70" s="155"/>
      <c r="L70" s="59"/>
      <c r="M70" s="59"/>
      <c r="N70" s="59"/>
      <c r="AB70" s="8" t="s">
        <v>134</v>
      </c>
      <c r="AC70" s="2">
        <v>30</v>
      </c>
      <c r="AD70" s="21">
        <f t="shared" si="4"/>
        <v>0.98394658217554831</v>
      </c>
      <c r="AE70" s="21">
        <f t="shared" si="5"/>
        <v>29.51839746526645</v>
      </c>
      <c r="AF70" s="38">
        <f>AE70/AC69</f>
        <v>0.98394658217554831</v>
      </c>
    </row>
    <row r="71" spans="1:36" ht="22.15" hidden="1" customHeight="1" x14ac:dyDescent="0.25">
      <c r="A71" s="208"/>
      <c r="B71" s="209" t="s">
        <v>130</v>
      </c>
      <c r="C71" s="73"/>
      <c r="D71" s="205"/>
      <c r="E71" s="52"/>
      <c r="F71" s="153"/>
      <c r="G71" s="154"/>
      <c r="H71" s="206">
        <f t="shared" si="3"/>
        <v>0</v>
      </c>
      <c r="I71" s="207"/>
      <c r="J71" s="153"/>
      <c r="K71" s="155"/>
      <c r="L71" s="59"/>
      <c r="M71" s="59"/>
      <c r="N71" s="59"/>
      <c r="AB71" s="8" t="s">
        <v>135</v>
      </c>
      <c r="AD71" s="21">
        <f t="shared" si="4"/>
        <v>0</v>
      </c>
      <c r="AE71" s="21">
        <f t="shared" si="5"/>
        <v>0</v>
      </c>
    </row>
    <row r="72" spans="1:36" ht="15.75" hidden="1" x14ac:dyDescent="0.25">
      <c r="A72" s="76"/>
      <c r="B72" s="209" t="s">
        <v>131</v>
      </c>
      <c r="C72" s="73"/>
      <c r="D72" s="205"/>
      <c r="E72" s="52"/>
      <c r="F72" s="153"/>
      <c r="G72" s="154"/>
      <c r="H72" s="206">
        <f t="shared" si="3"/>
        <v>0</v>
      </c>
      <c r="I72" s="207"/>
      <c r="J72" s="153"/>
      <c r="K72" s="155"/>
      <c r="L72" s="59"/>
      <c r="M72" s="59"/>
      <c r="N72" s="59"/>
      <c r="AB72" s="8" t="s">
        <v>136</v>
      </c>
      <c r="AD72" s="21">
        <f t="shared" si="4"/>
        <v>0</v>
      </c>
      <c r="AE72" s="21">
        <f t="shared" si="5"/>
        <v>0</v>
      </c>
    </row>
    <row r="73" spans="1:36" ht="15.75" hidden="1" x14ac:dyDescent="0.25">
      <c r="A73" s="76"/>
      <c r="B73" s="209" t="s">
        <v>132</v>
      </c>
      <c r="C73" s="73"/>
      <c r="D73" s="205"/>
      <c r="E73" s="52"/>
      <c r="F73" s="153"/>
      <c r="G73" s="154"/>
      <c r="H73" s="206">
        <f t="shared" si="3"/>
        <v>0</v>
      </c>
      <c r="I73" s="207"/>
      <c r="J73" s="153"/>
      <c r="K73" s="155"/>
      <c r="L73" s="59"/>
      <c r="M73" s="59"/>
      <c r="N73" s="59"/>
      <c r="AB73" s="8" t="s">
        <v>137</v>
      </c>
      <c r="AD73" s="21">
        <f t="shared" si="4"/>
        <v>0</v>
      </c>
      <c r="AE73" s="21">
        <f t="shared" si="5"/>
        <v>0</v>
      </c>
    </row>
    <row r="74" spans="1:36" ht="31.9" hidden="1" customHeight="1" x14ac:dyDescent="0.25">
      <c r="A74" s="291" t="s">
        <v>138</v>
      </c>
      <c r="B74" s="292"/>
      <c r="C74" s="293"/>
      <c r="D74" s="205"/>
      <c r="E74" s="52"/>
      <c r="F74" s="153"/>
      <c r="G74" s="154"/>
      <c r="H74" s="206">
        <f t="shared" si="3"/>
        <v>0</v>
      </c>
      <c r="I74" s="207"/>
      <c r="J74" s="153"/>
      <c r="K74" s="155"/>
      <c r="L74" s="59"/>
      <c r="M74" s="59"/>
      <c r="N74" s="59"/>
      <c r="AB74" s="8" t="s">
        <v>139</v>
      </c>
      <c r="AD74" s="21">
        <f t="shared" si="4"/>
        <v>0</v>
      </c>
      <c r="AE74" s="21">
        <f t="shared" si="5"/>
        <v>0</v>
      </c>
    </row>
    <row r="75" spans="1:36" ht="15.75" hidden="1" x14ac:dyDescent="0.25">
      <c r="A75" s="76"/>
      <c r="B75" s="209" t="s">
        <v>140</v>
      </c>
      <c r="C75" s="73"/>
      <c r="D75" s="205"/>
      <c r="E75" s="52"/>
      <c r="F75" s="153"/>
      <c r="G75" s="154"/>
      <c r="H75" s="206">
        <f t="shared" si="3"/>
        <v>0</v>
      </c>
      <c r="I75" s="207"/>
      <c r="J75" s="153"/>
      <c r="K75" s="155"/>
      <c r="L75" s="59"/>
      <c r="M75" s="59"/>
      <c r="N75" s="59"/>
      <c r="AB75" s="8" t="s">
        <v>141</v>
      </c>
      <c r="AD75" s="21">
        <f>AD67</f>
        <v>2.1630835182665433</v>
      </c>
      <c r="AE75" s="21">
        <f t="shared" si="5"/>
        <v>0</v>
      </c>
    </row>
    <row r="76" spans="1:36" ht="15.75" hidden="1" x14ac:dyDescent="0.25">
      <c r="A76" s="76"/>
      <c r="B76" s="209" t="s">
        <v>142</v>
      </c>
      <c r="C76" s="210"/>
      <c r="D76" s="205"/>
      <c r="E76" s="52"/>
      <c r="F76" s="153"/>
      <c r="G76" s="154"/>
      <c r="H76" s="206">
        <f t="shared" si="3"/>
        <v>0</v>
      </c>
      <c r="I76" s="207"/>
      <c r="J76" s="153"/>
      <c r="K76" s="155"/>
      <c r="L76" s="59"/>
      <c r="M76" s="59"/>
      <c r="N76" s="59"/>
      <c r="AB76" s="8" t="s">
        <v>143</v>
      </c>
      <c r="AD76" s="21">
        <f>AD68</f>
        <v>43.064212677413792</v>
      </c>
      <c r="AE76" s="21">
        <f t="shared" si="5"/>
        <v>0</v>
      </c>
    </row>
    <row r="77" spans="1:36" ht="40.5" customHeight="1" x14ac:dyDescent="0.25">
      <c r="A77" s="294" t="s">
        <v>144</v>
      </c>
      <c r="B77" s="295"/>
      <c r="C77" s="296"/>
      <c r="D77" s="211"/>
      <c r="E77" s="52"/>
      <c r="F77" s="212"/>
      <c r="G77" s="213"/>
      <c r="H77" s="212">
        <v>0.5</v>
      </c>
      <c r="I77" s="213">
        <f>H77*1.2</f>
        <v>0.6</v>
      </c>
      <c r="J77" s="212"/>
      <c r="K77" s="214"/>
      <c r="L77" s="59"/>
      <c r="M77" s="59"/>
      <c r="N77" s="59"/>
      <c r="AB77" s="8" t="s">
        <v>14</v>
      </c>
      <c r="AC77" s="2">
        <v>100</v>
      </c>
      <c r="AD77" s="215">
        <f>AD50</f>
        <v>2.1630835182665433</v>
      </c>
      <c r="AE77" s="21">
        <f>AC77*AD77</f>
        <v>216.30835182665433</v>
      </c>
      <c r="AF77" s="6" t="s">
        <v>14</v>
      </c>
      <c r="AG77" s="2">
        <f>F39</f>
        <v>0.45617000000000008</v>
      </c>
      <c r="AH77" s="2">
        <v>50</v>
      </c>
      <c r="AI77" s="2">
        <f>AG77*AH77</f>
        <v>22.808500000000002</v>
      </c>
    </row>
    <row r="78" spans="1:36" ht="22.5" customHeight="1" x14ac:dyDescent="0.25">
      <c r="A78" s="297" t="s">
        <v>145</v>
      </c>
      <c r="B78" s="298"/>
      <c r="C78" s="299"/>
      <c r="D78" s="216"/>
      <c r="E78" s="52"/>
      <c r="F78" s="138"/>
      <c r="G78" s="139"/>
      <c r="H78" s="138">
        <v>0.5</v>
      </c>
      <c r="I78" s="217">
        <f>H78*1.2</f>
        <v>0.6</v>
      </c>
      <c r="J78" s="138"/>
      <c r="K78" s="140"/>
      <c r="L78" s="59"/>
      <c r="M78" s="59"/>
      <c r="N78" s="59"/>
      <c r="AB78" s="8"/>
      <c r="AD78" s="215"/>
      <c r="AE78" s="21"/>
      <c r="AF78" s="6"/>
    </row>
    <row r="79" spans="1:36" ht="19.5" x14ac:dyDescent="0.35">
      <c r="A79" s="218" t="s">
        <v>146</v>
      </c>
      <c r="R79" s="2">
        <f>(D39*1+F39*30)*1.2</f>
        <v>28.125240000000009</v>
      </c>
      <c r="AB79" s="8" t="s">
        <v>69</v>
      </c>
      <c r="AC79" s="2">
        <v>6</v>
      </c>
      <c r="AD79" s="215">
        <f>AD54</f>
        <v>43.064212677413792</v>
      </c>
      <c r="AE79" s="21">
        <f>AC79*AD79</f>
        <v>258.38527606448275</v>
      </c>
      <c r="AF79" s="6" t="s">
        <v>69</v>
      </c>
      <c r="AG79" s="2">
        <f>D39</f>
        <v>9.7526000000000028</v>
      </c>
      <c r="AH79" s="2">
        <v>1</v>
      </c>
      <c r="AI79" s="2">
        <f>AG79*AH79</f>
        <v>9.7526000000000028</v>
      </c>
    </row>
    <row r="80" spans="1:36" ht="21.75" customHeight="1" x14ac:dyDescent="0.3">
      <c r="A80" s="219" t="s">
        <v>147</v>
      </c>
      <c r="B80" s="219"/>
      <c r="C80" s="220" t="str">
        <f>I5</f>
        <v>17.05.2024 г.</v>
      </c>
      <c r="AB80" s="8" t="s">
        <v>16</v>
      </c>
      <c r="AC80" s="2">
        <v>30</v>
      </c>
      <c r="AD80" s="215">
        <f>AD55</f>
        <v>2.0884649111327667</v>
      </c>
      <c r="AE80" s="21">
        <f t="shared" si="5"/>
        <v>62.653947333982998</v>
      </c>
      <c r="AG80" s="6" t="s">
        <v>148</v>
      </c>
      <c r="AI80" s="221">
        <f>SUM(AI77:AI79)</f>
        <v>32.561100000000003</v>
      </c>
      <c r="AJ80" s="2">
        <f>AI80/2</f>
        <v>16.280550000000002</v>
      </c>
    </row>
    <row r="81" spans="1:35" ht="24" customHeight="1" x14ac:dyDescent="0.3">
      <c r="A81" s="219" t="s">
        <v>149</v>
      </c>
      <c r="B81" s="219"/>
      <c r="C81" s="219"/>
      <c r="AB81" s="8" t="s">
        <v>16</v>
      </c>
      <c r="AC81" s="2">
        <v>30</v>
      </c>
      <c r="AD81" s="215">
        <f>AD56</f>
        <v>0.98394658217554831</v>
      </c>
      <c r="AE81" s="21">
        <f t="shared" si="5"/>
        <v>29.51839746526645</v>
      </c>
      <c r="AF81" s="8" t="s">
        <v>24</v>
      </c>
      <c r="AG81" s="6" t="s">
        <v>150</v>
      </c>
      <c r="AH81" s="222">
        <v>0.2</v>
      </c>
      <c r="AI81" s="2">
        <f>AI80*AH81</f>
        <v>6.512220000000001</v>
      </c>
    </row>
    <row r="82" spans="1:35" ht="15.75" x14ac:dyDescent="0.25">
      <c r="C82" s="1"/>
      <c r="D82" s="1" t="s">
        <v>151</v>
      </c>
      <c r="E82" s="1"/>
      <c r="I82" s="1" t="s">
        <v>152</v>
      </c>
      <c r="AB82" s="8"/>
      <c r="AD82" s="21"/>
      <c r="AE82" s="21">
        <f>SUM(AE77:AE81)</f>
        <v>566.86597269038657</v>
      </c>
      <c r="AF82" s="38">
        <f>AE82/AC81</f>
        <v>18.895532423012884</v>
      </c>
      <c r="AG82" s="6" t="s">
        <v>153</v>
      </c>
      <c r="AI82" s="223">
        <f>AI80+AI81</f>
        <v>39.073320000000002</v>
      </c>
    </row>
    <row r="83" spans="1:35" ht="15.75" x14ac:dyDescent="0.25">
      <c r="G83" s="1"/>
      <c r="H83" s="1"/>
      <c r="I83" s="1"/>
      <c r="AE83" s="21"/>
      <c r="AG83" s="6" t="s">
        <v>154</v>
      </c>
      <c r="AI83" s="224">
        <f>AI80/2+AI81</f>
        <v>22.792770000000004</v>
      </c>
    </row>
    <row r="89" spans="1:35" hidden="1" x14ac:dyDescent="0.2"/>
    <row r="90" spans="1:35" hidden="1" x14ac:dyDescent="0.2">
      <c r="AC90" s="2">
        <v>131700</v>
      </c>
      <c r="AD90" s="2">
        <v>8</v>
      </c>
      <c r="AE90" s="2">
        <f>AC90*AD90</f>
        <v>1053600</v>
      </c>
    </row>
    <row r="91" spans="1:35" hidden="1" x14ac:dyDescent="0.2">
      <c r="AC91" s="2">
        <v>7300</v>
      </c>
      <c r="AD91" s="2">
        <v>200</v>
      </c>
      <c r="AE91" s="2">
        <f>AC91*AD91</f>
        <v>1460000</v>
      </c>
    </row>
    <row r="92" spans="1:35" hidden="1" x14ac:dyDescent="0.2">
      <c r="AE92" s="2">
        <f>SUM(AE90:AE91)</f>
        <v>2513600</v>
      </c>
    </row>
    <row r="93" spans="1:35" hidden="1" x14ac:dyDescent="0.2">
      <c r="AD93" s="2">
        <v>50</v>
      </c>
      <c r="AE93" s="2">
        <f>AE92/AD93</f>
        <v>50272</v>
      </c>
    </row>
    <row r="94" spans="1:35" hidden="1" x14ac:dyDescent="0.2">
      <c r="AE94" s="2">
        <v>75000</v>
      </c>
    </row>
    <row r="95" spans="1:35" hidden="1" x14ac:dyDescent="0.2">
      <c r="A95" s="59"/>
      <c r="B95" s="59"/>
      <c r="C95" s="59"/>
      <c r="D95" s="59"/>
      <c r="E95" s="59"/>
      <c r="F95" s="59"/>
      <c r="G95" s="59"/>
      <c r="H95" s="59"/>
      <c r="I95" s="59"/>
      <c r="J95" s="59"/>
      <c r="AE95" s="2">
        <f>SUM(AE93:AE94)</f>
        <v>125272</v>
      </c>
    </row>
    <row r="96" spans="1:35" hidden="1" x14ac:dyDescent="0.2">
      <c r="A96" s="59"/>
      <c r="B96" s="59"/>
      <c r="C96" s="59"/>
      <c r="D96" s="59"/>
      <c r="E96" s="225"/>
      <c r="F96" s="59"/>
      <c r="G96" s="59"/>
      <c r="H96" s="59"/>
      <c r="I96" s="59"/>
      <c r="J96" s="59"/>
      <c r="AE96" s="2">
        <v>191000</v>
      </c>
    </row>
    <row r="97" spans="1:37" hidden="1" x14ac:dyDescent="0.2">
      <c r="A97" s="59"/>
      <c r="B97" s="59"/>
      <c r="C97" s="59"/>
      <c r="D97" s="59"/>
      <c r="E97" s="59"/>
      <c r="F97" s="59"/>
      <c r="G97" s="59"/>
      <c r="H97" s="59"/>
      <c r="I97" s="59"/>
      <c r="J97" s="59"/>
      <c r="AE97" s="2">
        <f>AE96-AE95</f>
        <v>65728</v>
      </c>
    </row>
    <row r="98" spans="1:37" hidden="1" x14ac:dyDescent="0.2">
      <c r="A98" s="59"/>
      <c r="B98" s="59"/>
      <c r="C98" s="59"/>
      <c r="D98" s="59"/>
      <c r="E98" s="59"/>
      <c r="F98" s="59"/>
      <c r="G98" s="59"/>
      <c r="H98" s="59"/>
      <c r="I98" s="59"/>
      <c r="J98" s="59"/>
    </row>
    <row r="99" spans="1:37" hidden="1" x14ac:dyDescent="0.2">
      <c r="A99" s="59"/>
      <c r="B99" s="59"/>
      <c r="C99" s="59"/>
      <c r="D99" s="59"/>
      <c r="E99" s="59"/>
      <c r="F99" s="89"/>
      <c r="G99" s="89"/>
      <c r="H99" s="59"/>
      <c r="I99" s="59"/>
      <c r="J99" s="59"/>
    </row>
    <row r="100" spans="1:37" hidden="1" x14ac:dyDescent="0.2">
      <c r="A100" s="59"/>
      <c r="B100" s="41"/>
      <c r="C100" s="59"/>
      <c r="D100" s="41"/>
      <c r="E100" s="59"/>
      <c r="F100" s="59"/>
      <c r="G100" s="59"/>
      <c r="H100" s="41"/>
      <c r="I100" s="41"/>
      <c r="J100" s="59"/>
    </row>
    <row r="101" spans="1:37" ht="15" hidden="1" x14ac:dyDescent="0.25">
      <c r="A101" s="59"/>
      <c r="B101" s="59"/>
      <c r="C101" s="59"/>
      <c r="D101" s="41"/>
      <c r="E101" s="41"/>
      <c r="F101" s="59"/>
      <c r="G101" s="59"/>
      <c r="J101" s="226" t="s">
        <v>150</v>
      </c>
      <c r="AF101" s="6" t="s">
        <v>155</v>
      </c>
    </row>
    <row r="102" spans="1:37" ht="14.25" hidden="1" x14ac:dyDescent="0.2">
      <c r="A102" s="103"/>
      <c r="B102" s="103"/>
      <c r="C102" s="103"/>
      <c r="D102" s="62"/>
      <c r="E102" s="59"/>
      <c r="F102" s="59"/>
      <c r="G102" s="59"/>
      <c r="J102" s="227">
        <v>0.2</v>
      </c>
    </row>
    <row r="103" spans="1:37" ht="18.75" hidden="1" x14ac:dyDescent="0.3">
      <c r="A103" s="103"/>
      <c r="B103" s="103"/>
      <c r="C103" s="103" t="s">
        <v>156</v>
      </c>
      <c r="D103" s="141">
        <v>2</v>
      </c>
      <c r="E103" s="228" t="s">
        <v>44</v>
      </c>
      <c r="F103" s="59">
        <f>D41</f>
        <v>8.8088000000000015</v>
      </c>
      <c r="G103" s="59"/>
      <c r="H103" s="59">
        <f>D103*F103</f>
        <v>17.617600000000003</v>
      </c>
      <c r="I103" s="59"/>
      <c r="J103" s="59">
        <f>H103*$J$102</f>
        <v>3.5235200000000009</v>
      </c>
      <c r="AC103" s="229" t="s">
        <v>157</v>
      </c>
      <c r="AD103" s="229"/>
      <c r="AE103" s="229"/>
    </row>
    <row r="104" spans="1:37" ht="15" hidden="1" x14ac:dyDescent="0.25">
      <c r="A104" s="103"/>
      <c r="B104" s="103" t="s">
        <v>158</v>
      </c>
      <c r="C104" s="103" t="s">
        <v>159</v>
      </c>
      <c r="D104" s="62">
        <v>120</v>
      </c>
      <c r="E104" s="228" t="s">
        <v>44</v>
      </c>
      <c r="F104" s="59">
        <f>F41</f>
        <v>0.50336000000000003</v>
      </c>
      <c r="G104" s="59"/>
      <c r="H104" s="59">
        <f>D104*F104</f>
        <v>60.403200000000005</v>
      </c>
      <c r="I104" s="59"/>
      <c r="J104" s="59">
        <f>H104*$J$102</f>
        <v>12.080640000000002</v>
      </c>
    </row>
    <row r="105" spans="1:37" ht="15.75" hidden="1" x14ac:dyDescent="0.25">
      <c r="A105" s="103"/>
      <c r="B105" s="103"/>
      <c r="C105" s="103" t="s">
        <v>117</v>
      </c>
      <c r="D105" s="228" t="s">
        <v>160</v>
      </c>
      <c r="E105" s="62"/>
      <c r="F105" s="59"/>
      <c r="G105" s="59"/>
      <c r="H105" s="59">
        <f>H103*0.5</f>
        <v>8.8088000000000015</v>
      </c>
      <c r="I105" s="59"/>
      <c r="J105" s="59">
        <f>J103</f>
        <v>3.5235200000000009</v>
      </c>
      <c r="K105" s="221">
        <f>H105+J105</f>
        <v>12.332320000000003</v>
      </c>
    </row>
    <row r="106" spans="1:37" ht="15.75" hidden="1" x14ac:dyDescent="0.25">
      <c r="A106" s="59"/>
      <c r="B106" s="59"/>
      <c r="C106" s="103"/>
      <c r="D106" s="103" t="s">
        <v>161</v>
      </c>
      <c r="E106" s="59"/>
      <c r="F106" s="59"/>
      <c r="G106" s="59"/>
      <c r="H106" s="59">
        <f>H104*0.5</f>
        <v>30.201600000000003</v>
      </c>
      <c r="I106" s="59"/>
      <c r="J106" s="59">
        <f>J104</f>
        <v>12.080640000000002</v>
      </c>
      <c r="K106" s="221">
        <f>H106+J106</f>
        <v>42.282240000000002</v>
      </c>
      <c r="AG106" s="204" t="s">
        <v>162</v>
      </c>
      <c r="AH106" s="6" t="s">
        <v>163</v>
      </c>
      <c r="AI106" s="6" t="s">
        <v>164</v>
      </c>
      <c r="AJ106" s="6" t="s">
        <v>165</v>
      </c>
      <c r="AK106" s="6" t="s">
        <v>166</v>
      </c>
    </row>
    <row r="107" spans="1:37" ht="15.75" hidden="1" x14ac:dyDescent="0.25">
      <c r="A107" s="59"/>
      <c r="B107" s="59"/>
      <c r="C107" s="103"/>
      <c r="D107" s="59"/>
      <c r="E107" s="59"/>
      <c r="F107" s="59"/>
      <c r="G107" s="59"/>
      <c r="H107" s="59"/>
      <c r="I107" s="59"/>
      <c r="J107" s="59"/>
      <c r="K107" s="223">
        <f>SUM(K105:K106)</f>
        <v>54.614560000000004</v>
      </c>
      <c r="AG107" s="230" t="s">
        <v>167</v>
      </c>
    </row>
    <row r="108" spans="1:37" ht="15" hidden="1" x14ac:dyDescent="0.25">
      <c r="A108" s="59"/>
      <c r="B108" s="59"/>
      <c r="C108" s="103"/>
      <c r="D108" s="59"/>
      <c r="E108" s="59"/>
      <c r="F108" s="59"/>
      <c r="G108" s="59"/>
      <c r="H108" s="59"/>
      <c r="I108" s="59"/>
      <c r="J108" s="59"/>
      <c r="AC108" s="6" t="s">
        <v>168</v>
      </c>
      <c r="AG108" s="2">
        <v>134400</v>
      </c>
      <c r="AH108" s="2">
        <f>AG108</f>
        <v>134400</v>
      </c>
      <c r="AI108" s="2">
        <f>AG108</f>
        <v>134400</v>
      </c>
      <c r="AJ108" s="2">
        <f>AI108</f>
        <v>134400</v>
      </c>
      <c r="AK108" s="2">
        <f>AJ108</f>
        <v>134400</v>
      </c>
    </row>
    <row r="109" spans="1:37" ht="15" hidden="1" x14ac:dyDescent="0.25">
      <c r="A109" s="59"/>
      <c r="B109" s="59"/>
      <c r="C109" s="103"/>
      <c r="D109" s="59"/>
      <c r="E109" s="59"/>
      <c r="F109" s="59"/>
      <c r="G109" s="59"/>
      <c r="H109" s="59"/>
      <c r="I109" s="59"/>
      <c r="J109" s="59"/>
      <c r="AC109" s="6" t="s">
        <v>169</v>
      </c>
      <c r="AG109" s="21">
        <v>105000</v>
      </c>
      <c r="AH109" s="2">
        <v>94000</v>
      </c>
      <c r="AI109" s="2">
        <v>84000</v>
      </c>
      <c r="AJ109" s="2">
        <v>76000</v>
      </c>
      <c r="AK109" s="2">
        <v>68000</v>
      </c>
    </row>
    <row r="110" spans="1:37" ht="15" hidden="1" x14ac:dyDescent="0.25">
      <c r="A110" s="59"/>
      <c r="B110" s="59"/>
      <c r="C110" s="103"/>
      <c r="D110" s="59"/>
      <c r="E110" s="59"/>
      <c r="F110" s="59"/>
      <c r="G110" s="59"/>
      <c r="H110" s="59"/>
      <c r="I110" s="59"/>
      <c r="J110" s="59"/>
      <c r="AC110" s="6" t="s">
        <v>170</v>
      </c>
    </row>
    <row r="111" spans="1:37" ht="18.75" hidden="1" x14ac:dyDescent="0.3">
      <c r="A111" s="59"/>
      <c r="B111" s="59"/>
      <c r="C111" s="103"/>
      <c r="D111" s="59"/>
      <c r="E111" s="59"/>
      <c r="F111" s="59"/>
      <c r="G111" s="59"/>
      <c r="H111" s="59"/>
      <c r="I111" s="59"/>
      <c r="J111" s="59"/>
      <c r="AC111" s="10" t="s">
        <v>171</v>
      </c>
      <c r="AG111" s="231">
        <f>SUM(AG108:AG110)</f>
        <v>239400</v>
      </c>
      <c r="AH111" s="231">
        <f>SUM(AH108:AH110)</f>
        <v>228400</v>
      </c>
      <c r="AI111" s="231">
        <f>SUM(AI108:AI110)</f>
        <v>218400</v>
      </c>
      <c r="AJ111" s="231">
        <f>SUM(AJ108:AJ110)</f>
        <v>210400</v>
      </c>
      <c r="AK111" s="231">
        <f>SUM(AK108:AK110)</f>
        <v>202400</v>
      </c>
    </row>
    <row r="112" spans="1:37" ht="18.75" hidden="1" x14ac:dyDescent="0.3">
      <c r="A112" s="59"/>
      <c r="B112" s="59"/>
      <c r="C112" s="103"/>
      <c r="D112" s="59"/>
      <c r="E112" s="59"/>
      <c r="F112" s="59"/>
      <c r="G112" s="59"/>
      <c r="H112" s="59"/>
      <c r="I112" s="59"/>
      <c r="J112" s="59"/>
      <c r="AC112" s="10"/>
      <c r="AF112" s="10" t="s">
        <v>172</v>
      </c>
      <c r="AG112" s="231">
        <f>AG111*1.2</f>
        <v>287280</v>
      </c>
      <c r="AH112" s="231">
        <f>AH111*1.2</f>
        <v>274080</v>
      </c>
      <c r="AI112" s="231">
        <f>AI111*1.2</f>
        <v>262080</v>
      </c>
      <c r="AJ112" s="231">
        <f>AJ111*1.2</f>
        <v>252480</v>
      </c>
      <c r="AK112" s="231">
        <f>AK111*1.2</f>
        <v>242880</v>
      </c>
    </row>
    <row r="113" spans="1:37" x14ac:dyDescent="0.2">
      <c r="A113" s="59"/>
      <c r="B113" s="41"/>
      <c r="C113" s="41"/>
      <c r="D113" s="41"/>
      <c r="E113" s="41"/>
      <c r="F113" s="59"/>
      <c r="G113" s="59"/>
      <c r="H113" s="59"/>
      <c r="I113" s="59"/>
      <c r="J113" s="59"/>
    </row>
    <row r="114" spans="1:37" ht="14.25" x14ac:dyDescent="0.2">
      <c r="C114" s="69"/>
    </row>
    <row r="115" spans="1:37" ht="15" x14ac:dyDescent="0.25">
      <c r="C115" s="69"/>
      <c r="AF115" s="6" t="s">
        <v>173</v>
      </c>
      <c r="AG115" s="2">
        <v>77000</v>
      </c>
      <c r="AH115" s="2">
        <v>70000</v>
      </c>
      <c r="AI115" s="2">
        <v>63000</v>
      </c>
      <c r="AJ115" s="2">
        <v>57000</v>
      </c>
      <c r="AK115" s="2">
        <v>52000</v>
      </c>
    </row>
    <row r="116" spans="1:37" ht="15" x14ac:dyDescent="0.25">
      <c r="C116" s="69"/>
      <c r="AD116" s="6" t="s">
        <v>86</v>
      </c>
      <c r="AF116" s="6" t="s">
        <v>174</v>
      </c>
      <c r="AG116" s="21">
        <f>AG109-AG115</f>
        <v>28000</v>
      </c>
      <c r="AH116" s="21">
        <f>AH109-AH115</f>
        <v>24000</v>
      </c>
      <c r="AI116" s="21">
        <f>AI109-AI115</f>
        <v>21000</v>
      </c>
      <c r="AJ116" s="21">
        <f>AJ109-AJ115</f>
        <v>19000</v>
      </c>
      <c r="AK116" s="21">
        <f>AK109-AK115</f>
        <v>16000</v>
      </c>
    </row>
    <row r="117" spans="1:37" ht="15" x14ac:dyDescent="0.25">
      <c r="AF117" s="6" t="s">
        <v>175</v>
      </c>
      <c r="AG117" s="194">
        <f>AG116/AG115</f>
        <v>0.36363636363636365</v>
      </c>
      <c r="AH117" s="194">
        <f>AH116/AH115</f>
        <v>0.34285714285714286</v>
      </c>
      <c r="AI117" s="194">
        <f>AI116/AI115</f>
        <v>0.33333333333333331</v>
      </c>
      <c r="AJ117" s="194">
        <f>AJ116/AJ115</f>
        <v>0.33333333333333331</v>
      </c>
      <c r="AK117" s="194">
        <f>AK116/AK115</f>
        <v>0.30769230769230771</v>
      </c>
    </row>
    <row r="122" spans="1:37" ht="15" x14ac:dyDescent="0.25">
      <c r="AC122" s="6" t="s">
        <v>176</v>
      </c>
      <c r="AD122" s="2">
        <v>114000</v>
      </c>
    </row>
    <row r="123" spans="1:37" ht="15" x14ac:dyDescent="0.25">
      <c r="AC123" s="6" t="s">
        <v>175</v>
      </c>
      <c r="AD123" s="194">
        <f>(AG108-AD122)/AD122</f>
        <v>0.17894736842105263</v>
      </c>
    </row>
    <row r="129" spans="14:35" ht="18" x14ac:dyDescent="0.25">
      <c r="N129" s="287" t="s">
        <v>177</v>
      </c>
      <c r="O129" s="287"/>
      <c r="P129" s="287"/>
      <c r="Q129" s="287"/>
      <c r="R129" s="287"/>
      <c r="S129" s="287"/>
      <c r="T129" s="287"/>
      <c r="U129" s="287"/>
      <c r="V129" s="287"/>
      <c r="W129" s="287"/>
    </row>
    <row r="131" spans="14:35" ht="15.75" x14ac:dyDescent="0.25">
      <c r="N131" s="224" t="s">
        <v>178</v>
      </c>
      <c r="AC131" s="6" t="s">
        <v>179</v>
      </c>
      <c r="AD131" s="6" t="s">
        <v>69</v>
      </c>
      <c r="AE131" s="2">
        <v>38.47</v>
      </c>
      <c r="AF131" s="2">
        <v>6</v>
      </c>
      <c r="AG131" s="2">
        <f>AE131*AF131</f>
        <v>230.82</v>
      </c>
    </row>
    <row r="132" spans="14:35" ht="15" x14ac:dyDescent="0.25">
      <c r="N132" s="232" t="s">
        <v>180</v>
      </c>
      <c r="O132" s="232"/>
      <c r="P132" s="232"/>
      <c r="AD132" s="6" t="s">
        <v>14</v>
      </c>
      <c r="AE132" s="2">
        <v>3.35</v>
      </c>
      <c r="AF132" s="2">
        <v>220</v>
      </c>
      <c r="AG132" s="215">
        <f>AE132*AF132</f>
        <v>737</v>
      </c>
    </row>
    <row r="133" spans="14:35" ht="45" x14ac:dyDescent="0.25">
      <c r="N133" s="233" t="s">
        <v>181</v>
      </c>
      <c r="P133" s="6" t="s">
        <v>182</v>
      </c>
      <c r="Q133" s="234" t="s">
        <v>183</v>
      </c>
      <c r="R133" s="6" t="s">
        <v>184</v>
      </c>
      <c r="S133" s="230" t="s">
        <v>185</v>
      </c>
      <c r="T133" s="230" t="s">
        <v>186</v>
      </c>
      <c r="U133" s="6" t="s">
        <v>187</v>
      </c>
      <c r="V133" s="6" t="s">
        <v>188</v>
      </c>
      <c r="AG133" s="2">
        <f>SUM(AG131:AG132)</f>
        <v>967.81999999999994</v>
      </c>
      <c r="AH133" s="18">
        <f>AG133/30</f>
        <v>32.260666666666665</v>
      </c>
      <c r="AI133" s="33">
        <f>AH133*10000</f>
        <v>322606.66666666663</v>
      </c>
    </row>
    <row r="134" spans="14:35" ht="15" x14ac:dyDescent="0.25">
      <c r="N134" s="2">
        <v>601</v>
      </c>
      <c r="O134" s="6" t="s">
        <v>44</v>
      </c>
      <c r="P134" s="2">
        <v>1.9</v>
      </c>
      <c r="Q134" s="235">
        <f>N134*P134</f>
        <v>1141.8999999999999</v>
      </c>
      <c r="R134" s="6" t="s">
        <v>189</v>
      </c>
      <c r="S134" s="222">
        <v>0.4</v>
      </c>
      <c r="T134" s="2">
        <f>$N$134*S134</f>
        <v>240.4</v>
      </c>
      <c r="U134" s="2">
        <v>0.5</v>
      </c>
      <c r="V134" s="215">
        <f>T134*U134</f>
        <v>120.2</v>
      </c>
    </row>
    <row r="135" spans="14:35" ht="15" x14ac:dyDescent="0.25">
      <c r="R135" s="6" t="s">
        <v>190</v>
      </c>
      <c r="S135" s="222">
        <v>0.2</v>
      </c>
      <c r="T135" s="2">
        <f>$N$134*S135</f>
        <v>120.2</v>
      </c>
      <c r="U135" s="2">
        <v>4.5</v>
      </c>
      <c r="V135" s="215">
        <f>T135*U135</f>
        <v>540.9</v>
      </c>
    </row>
    <row r="136" spans="14:35" ht="15" x14ac:dyDescent="0.25">
      <c r="R136" s="6" t="s">
        <v>191</v>
      </c>
      <c r="S136" s="222">
        <v>0.3</v>
      </c>
      <c r="T136" s="2">
        <f>$N$134*S136</f>
        <v>180.29999999999998</v>
      </c>
      <c r="U136" s="215">
        <v>2</v>
      </c>
      <c r="V136" s="215">
        <f>T136*U136</f>
        <v>360.59999999999997</v>
      </c>
    </row>
    <row r="137" spans="14:35" ht="15" x14ac:dyDescent="0.25">
      <c r="R137" s="6" t="s">
        <v>192</v>
      </c>
      <c r="S137" s="222">
        <v>0.1</v>
      </c>
      <c r="T137" s="2">
        <f>$N$134*S137</f>
        <v>60.1</v>
      </c>
      <c r="U137" s="215">
        <v>2</v>
      </c>
      <c r="V137" s="215">
        <f>T137*U137</f>
        <v>120.2</v>
      </c>
    </row>
    <row r="138" spans="14:35" ht="38.25" x14ac:dyDescent="0.2">
      <c r="V138" s="235">
        <f>SUM(V134:V137)</f>
        <v>1141.9000000000001</v>
      </c>
      <c r="W138" s="236" t="s">
        <v>193</v>
      </c>
    </row>
    <row r="140" spans="14:35" x14ac:dyDescent="0.2">
      <c r="N140" s="232" t="s">
        <v>194</v>
      </c>
      <c r="O140" s="232"/>
      <c r="P140" s="232"/>
    </row>
    <row r="141" spans="14:35" ht="45" x14ac:dyDescent="0.25">
      <c r="N141" s="233" t="s">
        <v>181</v>
      </c>
      <c r="P141" s="6" t="s">
        <v>182</v>
      </c>
      <c r="Q141" s="234" t="s">
        <v>183</v>
      </c>
      <c r="R141" s="6" t="s">
        <v>184</v>
      </c>
      <c r="S141" s="230" t="s">
        <v>185</v>
      </c>
      <c r="T141" s="230" t="s">
        <v>186</v>
      </c>
      <c r="U141" s="6" t="s">
        <v>187</v>
      </c>
      <c r="V141" s="6" t="s">
        <v>188</v>
      </c>
    </row>
    <row r="142" spans="14:35" ht="15" x14ac:dyDescent="0.25">
      <c r="N142" s="2">
        <v>701</v>
      </c>
      <c r="O142" s="6" t="s">
        <v>44</v>
      </c>
      <c r="P142" s="215">
        <v>2</v>
      </c>
      <c r="Q142" s="237">
        <f>N142*P142</f>
        <v>1402</v>
      </c>
      <c r="R142" s="6" t="s">
        <v>189</v>
      </c>
      <c r="S142" s="222">
        <v>0.4</v>
      </c>
      <c r="T142" s="2">
        <f>$N$142*S142</f>
        <v>280.40000000000003</v>
      </c>
      <c r="U142" s="2">
        <v>0.5</v>
      </c>
      <c r="V142" s="215">
        <f>T142*U142</f>
        <v>140.20000000000002</v>
      </c>
    </row>
    <row r="143" spans="14:35" ht="15" x14ac:dyDescent="0.25">
      <c r="R143" s="6" t="s">
        <v>190</v>
      </c>
      <c r="S143" s="222">
        <v>0.2</v>
      </c>
      <c r="T143" s="2">
        <f>$N$142*S143</f>
        <v>140.20000000000002</v>
      </c>
      <c r="U143" s="2">
        <v>4.7</v>
      </c>
      <c r="V143" s="215">
        <f>T143*U143</f>
        <v>658.94</v>
      </c>
    </row>
    <row r="144" spans="14:35" ht="15" x14ac:dyDescent="0.25">
      <c r="R144" s="6" t="s">
        <v>191</v>
      </c>
      <c r="S144" s="222">
        <v>0.3</v>
      </c>
      <c r="T144" s="2">
        <f>$N$142*S144</f>
        <v>210.29999999999998</v>
      </c>
      <c r="U144" s="2">
        <v>2.2000000000000002</v>
      </c>
      <c r="V144" s="215">
        <f>T144*U144</f>
        <v>462.66</v>
      </c>
    </row>
    <row r="145" spans="14:23" ht="15" x14ac:dyDescent="0.25">
      <c r="R145" s="6" t="s">
        <v>192</v>
      </c>
      <c r="S145" s="222">
        <v>0.1</v>
      </c>
      <c r="T145" s="2">
        <f>$N$142*S145</f>
        <v>70.100000000000009</v>
      </c>
      <c r="U145" s="2">
        <v>2.2000000000000002</v>
      </c>
      <c r="V145" s="215">
        <f>T145*U145</f>
        <v>154.22000000000003</v>
      </c>
    </row>
    <row r="146" spans="14:23" ht="38.25" x14ac:dyDescent="0.2">
      <c r="V146" s="238">
        <f>SUM(V142:V145)</f>
        <v>1416.0200000000002</v>
      </c>
      <c r="W146" s="236" t="s">
        <v>193</v>
      </c>
    </row>
    <row r="149" spans="14:23" ht="15.75" x14ac:dyDescent="0.25">
      <c r="N149" s="224" t="s">
        <v>195</v>
      </c>
    </row>
    <row r="150" spans="14:23" x14ac:dyDescent="0.2">
      <c r="N150" s="232" t="s">
        <v>196</v>
      </c>
      <c r="O150" s="232"/>
      <c r="P150" s="232"/>
    </row>
    <row r="151" spans="14:23" ht="45" x14ac:dyDescent="0.25">
      <c r="N151" s="233" t="s">
        <v>181</v>
      </c>
      <c r="P151" s="6" t="s">
        <v>182</v>
      </c>
      <c r="Q151" s="234" t="s">
        <v>183</v>
      </c>
      <c r="R151" s="6" t="s">
        <v>184</v>
      </c>
      <c r="S151" s="230" t="s">
        <v>185</v>
      </c>
      <c r="T151" s="230" t="s">
        <v>186</v>
      </c>
      <c r="U151" s="6" t="s">
        <v>187</v>
      </c>
      <c r="V151" s="6" t="s">
        <v>188</v>
      </c>
    </row>
    <row r="152" spans="14:23" ht="15" x14ac:dyDescent="0.25">
      <c r="N152" s="2">
        <v>451</v>
      </c>
      <c r="O152" s="6" t="s">
        <v>44</v>
      </c>
      <c r="P152" s="215">
        <v>2</v>
      </c>
      <c r="Q152" s="237">
        <f>N152*P152</f>
        <v>902</v>
      </c>
      <c r="R152" s="6" t="s">
        <v>189</v>
      </c>
      <c r="S152" s="222">
        <v>0.4</v>
      </c>
      <c r="T152" s="2">
        <f>$N$152*S152</f>
        <v>180.4</v>
      </c>
      <c r="U152" s="2">
        <v>0.7</v>
      </c>
      <c r="V152" s="215">
        <f>T152*U152</f>
        <v>126.28</v>
      </c>
    </row>
    <row r="153" spans="14:23" ht="15" x14ac:dyDescent="0.25">
      <c r="R153" s="6" t="s">
        <v>190</v>
      </c>
      <c r="S153" s="222">
        <v>0.2</v>
      </c>
      <c r="T153" s="2">
        <f>$N$152*S153</f>
        <v>90.2</v>
      </c>
      <c r="U153" s="2">
        <v>4.7</v>
      </c>
      <c r="V153" s="215">
        <f>T153*U153</f>
        <v>423.94000000000005</v>
      </c>
    </row>
    <row r="154" spans="14:23" ht="15" x14ac:dyDescent="0.25">
      <c r="R154" s="6" t="s">
        <v>191</v>
      </c>
      <c r="S154" s="222">
        <v>0.3</v>
      </c>
      <c r="T154" s="2">
        <f>$N$152*S154</f>
        <v>135.29999999999998</v>
      </c>
      <c r="U154" s="215">
        <v>2.2000000000000002</v>
      </c>
      <c r="V154" s="215">
        <f>T154*U154</f>
        <v>297.65999999999997</v>
      </c>
    </row>
    <row r="155" spans="14:23" ht="15" x14ac:dyDescent="0.25">
      <c r="R155" s="6" t="s">
        <v>192</v>
      </c>
      <c r="S155" s="222">
        <v>0.1</v>
      </c>
      <c r="T155" s="2">
        <f>$N$152*S155</f>
        <v>45.1</v>
      </c>
      <c r="U155" s="215">
        <v>2.2000000000000002</v>
      </c>
      <c r="V155" s="215">
        <f>T155*U155</f>
        <v>99.220000000000013</v>
      </c>
    </row>
    <row r="156" spans="14:23" ht="38.25" x14ac:dyDescent="0.2">
      <c r="V156" s="237">
        <f>SUM(V152:V155)</f>
        <v>947.1</v>
      </c>
      <c r="W156" s="236" t="s">
        <v>193</v>
      </c>
    </row>
    <row r="158" spans="14:23" x14ac:dyDescent="0.2">
      <c r="N158" s="232" t="s">
        <v>197</v>
      </c>
      <c r="O158" s="232"/>
      <c r="P158" s="232"/>
    </row>
    <row r="159" spans="14:23" ht="45" x14ac:dyDescent="0.25">
      <c r="N159" s="233" t="s">
        <v>181</v>
      </c>
      <c r="P159" s="6" t="s">
        <v>182</v>
      </c>
      <c r="Q159" s="234" t="s">
        <v>183</v>
      </c>
      <c r="R159" s="6" t="s">
        <v>184</v>
      </c>
      <c r="S159" s="230" t="s">
        <v>185</v>
      </c>
      <c r="T159" s="230" t="s">
        <v>186</v>
      </c>
      <c r="U159" s="6" t="s">
        <v>187</v>
      </c>
      <c r="V159" s="6" t="s">
        <v>188</v>
      </c>
    </row>
    <row r="160" spans="14:23" ht="15" x14ac:dyDescent="0.25">
      <c r="N160" s="2">
        <v>601</v>
      </c>
      <c r="O160" s="6" t="s">
        <v>44</v>
      </c>
      <c r="P160" s="215">
        <v>2.2000000000000002</v>
      </c>
      <c r="Q160" s="237">
        <f>N160*P160</f>
        <v>1322.2</v>
      </c>
      <c r="R160" s="6" t="s">
        <v>189</v>
      </c>
      <c r="S160" s="222">
        <v>0.4</v>
      </c>
      <c r="T160" s="2">
        <f>$N$160*S160</f>
        <v>240.4</v>
      </c>
      <c r="U160" s="2">
        <v>0.7</v>
      </c>
      <c r="V160" s="215">
        <f>T160*U160</f>
        <v>168.28</v>
      </c>
    </row>
    <row r="161" spans="17:23" ht="15" x14ac:dyDescent="0.25">
      <c r="R161" s="6" t="s">
        <v>190</v>
      </c>
      <c r="S161" s="222">
        <v>0.2</v>
      </c>
      <c r="T161" s="2">
        <f>$N$160*S161</f>
        <v>120.2</v>
      </c>
      <c r="U161" s="2">
        <v>4.9000000000000004</v>
      </c>
      <c r="V161" s="215">
        <f>T161*U161</f>
        <v>588.98</v>
      </c>
    </row>
    <row r="162" spans="17:23" ht="15" x14ac:dyDescent="0.25">
      <c r="R162" s="6" t="s">
        <v>191</v>
      </c>
      <c r="S162" s="222">
        <v>0.3</v>
      </c>
      <c r="T162" s="2">
        <f>$N$160*S162</f>
        <v>180.29999999999998</v>
      </c>
      <c r="U162" s="2">
        <v>2.4</v>
      </c>
      <c r="V162" s="215">
        <f>T162*U162</f>
        <v>432.71999999999997</v>
      </c>
    </row>
    <row r="163" spans="17:23" ht="15" x14ac:dyDescent="0.25">
      <c r="R163" s="6" t="s">
        <v>192</v>
      </c>
      <c r="S163" s="222">
        <v>0.1</v>
      </c>
      <c r="T163" s="2">
        <f>$N$160*S163</f>
        <v>60.1</v>
      </c>
      <c r="U163" s="2">
        <v>2.4</v>
      </c>
      <c r="V163" s="215">
        <f>T163*U163</f>
        <v>144.24</v>
      </c>
    </row>
    <row r="164" spans="17:23" ht="38.25" x14ac:dyDescent="0.2">
      <c r="V164" s="238">
        <f>SUM(V160:V163)</f>
        <v>1334.22</v>
      </c>
      <c r="W164" s="236" t="s">
        <v>193</v>
      </c>
    </row>
    <row r="167" spans="17:23" ht="15" x14ac:dyDescent="0.25">
      <c r="Q167" s="6" t="s">
        <v>86</v>
      </c>
      <c r="S167" s="6" t="s">
        <v>87</v>
      </c>
    </row>
  </sheetData>
  <mergeCells count="28">
    <mergeCell ref="U31:V31"/>
    <mergeCell ref="Q32:R32"/>
    <mergeCell ref="A33:C33"/>
    <mergeCell ref="A36:C36"/>
    <mergeCell ref="N129:W129"/>
    <mergeCell ref="A62:C62"/>
    <mergeCell ref="A66:C66"/>
    <mergeCell ref="A70:C70"/>
    <mergeCell ref="A74:C74"/>
    <mergeCell ref="A77:C77"/>
    <mergeCell ref="A78:C78"/>
    <mergeCell ref="A53:C53"/>
    <mergeCell ref="A15:C15"/>
    <mergeCell ref="A16:C16"/>
    <mergeCell ref="A17:C17"/>
    <mergeCell ref="Q18:T18"/>
    <mergeCell ref="Q26:R26"/>
    <mergeCell ref="Q31:R31"/>
    <mergeCell ref="U26:V27"/>
    <mergeCell ref="Q27:R27"/>
    <mergeCell ref="A6:K6"/>
    <mergeCell ref="A7:K7"/>
    <mergeCell ref="A8:K8"/>
    <mergeCell ref="A10:C11"/>
    <mergeCell ref="D10:E10"/>
    <mergeCell ref="F10:G10"/>
    <mergeCell ref="H10:I10"/>
    <mergeCell ref="J10:K10"/>
  </mergeCells>
  <printOptions horizontalCentered="1"/>
  <pageMargins left="0.74803149606299213" right="0.19685039370078741" top="0.11811023622047245" bottom="0.19685039370078741" header="0.51181102362204722" footer="0.51181102362204722"/>
  <pageSetup paperSize="9" scale="56" orientation="portrait" r:id="rId1"/>
  <headerFooter alignWithMargins="0"/>
  <rowBreaks count="2" manualBreakCount="2">
    <brk id="88" max="47" man="1"/>
    <brk id="128" max="47" man="1"/>
  </rowBreaks>
  <colBreaks count="4" manualBreakCount="4">
    <brk id="11" max="165" man="1"/>
    <brk id="34" max="165" man="1"/>
    <brk id="35" max="165" man="1"/>
    <brk id="37" max="1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Тарифы на услуги</vt:lpstr>
      <vt:lpstr>Лист1</vt:lpstr>
      <vt:lpstr>'Тарифы на услуги'!Область_печати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2025-03-10T09:24:04Z</dcterms:modified>
</cp:coreProperties>
</file>